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EstaPasta_de_trabalho" showPivotChartFilter="1" defaultThemeVersion="124226"/>
  <bookViews>
    <workbookView xWindow="0" yWindow="0" windowWidth="16815" windowHeight="8340" tabRatio="667"/>
  </bookViews>
  <sheets>
    <sheet name="Envoltória e Pré-req dos Amb" sheetId="10" r:id="rId1"/>
    <sheet name="Peso das Variáveis" sheetId="15" r:id="rId2"/>
    <sheet name="ESCALAS" sheetId="8" state="hidden" r:id="rId3"/>
    <sheet name="Pré-requisitos da UH" sheetId="11" r:id="rId4"/>
    <sheet name="Bonificações" sheetId="12" r:id="rId5"/>
    <sheet name="Aquecimento de Água" sheetId="14" r:id="rId6"/>
    <sheet name="Pontuação Total" sheetId="13" r:id="rId7"/>
  </sheets>
  <externalReferences>
    <externalReference r:id="rId8"/>
  </externalReferences>
  <definedNames>
    <definedName name="Classificaçao">[1]Plan2!$C$3:$C$6</definedName>
  </definedNames>
  <calcPr calcId="145621"/>
</workbook>
</file>

<file path=xl/calcChain.xml><?xml version="1.0" encoding="utf-8"?>
<calcChain xmlns="http://schemas.openxmlformats.org/spreadsheetml/2006/main">
  <c r="E13" i="12" l="1"/>
  <c r="E14" i="12"/>
  <c r="E93" i="10" l="1"/>
  <c r="E109" i="10" l="1"/>
  <c r="E98" i="10"/>
  <c r="E99" i="10" s="1"/>
  <c r="D122" i="10"/>
  <c r="D28" i="11" s="1"/>
  <c r="E16" i="11"/>
  <c r="E17" i="11"/>
  <c r="E18" i="11"/>
  <c r="E19" i="11"/>
  <c r="D124" i="10"/>
  <c r="D30" i="11" s="1"/>
  <c r="E30" i="11" s="1"/>
  <c r="D14" i="13" s="1"/>
  <c r="E22" i="11"/>
  <c r="E36" i="10"/>
  <c r="E58" i="10"/>
  <c r="E59" i="10" s="1"/>
  <c r="E50" i="10"/>
  <c r="E51" i="10" s="1"/>
  <c r="E78" i="10"/>
  <c r="E79" i="10" s="1"/>
  <c r="E42" i="10" s="1"/>
  <c r="E123" i="10" s="1"/>
  <c r="E124" i="10" s="1"/>
  <c r="E72" i="10"/>
  <c r="E73" i="10" s="1"/>
  <c r="E64" i="10"/>
  <c r="E45" i="10" s="1"/>
  <c r="E46" i="10"/>
  <c r="E47" i="10" s="1"/>
  <c r="E48" i="10"/>
  <c r="E49" i="10" s="1"/>
  <c r="E52" i="10"/>
  <c r="E53" i="10" s="1"/>
  <c r="E54" i="10"/>
  <c r="E55" i="10" s="1"/>
  <c r="E56" i="10"/>
  <c r="E57" i="10" s="1"/>
  <c r="E60" i="10"/>
  <c r="E61" i="10" s="1"/>
  <c r="E62" i="10"/>
  <c r="E63" i="10" s="1"/>
  <c r="E66" i="10"/>
  <c r="E67" i="10" s="1"/>
  <c r="E68" i="10"/>
  <c r="E69" i="10" s="1"/>
  <c r="E70" i="10"/>
  <c r="E71" i="10" s="1"/>
  <c r="E74" i="10"/>
  <c r="E75" i="10" s="1"/>
  <c r="E76" i="10"/>
  <c r="E77" i="10" s="1"/>
  <c r="E80" i="10"/>
  <c r="E81" i="10" s="1"/>
  <c r="E89" i="10"/>
  <c r="E86" i="10" s="1"/>
  <c r="E88" i="10"/>
  <c r="E87" i="10"/>
  <c r="E92" i="10"/>
  <c r="E90" i="10"/>
  <c r="E91" i="10"/>
  <c r="E101" i="10"/>
  <c r="E105" i="10" s="1"/>
  <c r="E110" i="10"/>
  <c r="E111" i="10"/>
  <c r="E112" i="10"/>
  <c r="E113" i="10"/>
  <c r="E114" i="10"/>
  <c r="E115" i="10"/>
  <c r="E116" i="10"/>
  <c r="E117" i="10"/>
  <c r="D123" i="10"/>
  <c r="D29" i="11" s="1"/>
  <c r="E29" i="11" s="1"/>
  <c r="D13" i="13" s="1"/>
  <c r="F135" i="10"/>
  <c r="G135" i="10"/>
  <c r="D126" i="10"/>
  <c r="D125" i="10" s="1"/>
  <c r="D31" i="11" s="1"/>
  <c r="E31" i="11" s="1"/>
  <c r="J10" i="15"/>
  <c r="E12" i="12"/>
  <c r="E11" i="12"/>
  <c r="E47" i="12"/>
  <c r="D65" i="14"/>
  <c r="E20" i="12"/>
  <c r="D27" i="14"/>
  <c r="D32" i="14"/>
  <c r="D30" i="14"/>
  <c r="D39" i="14"/>
  <c r="D62" i="14"/>
  <c r="D63" i="14"/>
  <c r="E49" i="12"/>
  <c r="E44" i="12"/>
  <c r="E42" i="12"/>
  <c r="E22" i="12"/>
  <c r="E23" i="12"/>
  <c r="E25" i="12" s="1"/>
  <c r="E26" i="12" s="1"/>
  <c r="E24" i="12"/>
  <c r="E21" i="12"/>
  <c r="D23" i="13"/>
  <c r="D16" i="13"/>
  <c r="D15" i="13"/>
  <c r="D31" i="14"/>
  <c r="D21" i="14"/>
  <c r="D15" i="14"/>
  <c r="D57" i="14"/>
  <c r="D58" i="14"/>
  <c r="D53" i="14"/>
  <c r="D54" i="14"/>
  <c r="D49" i="14"/>
  <c r="D50" i="14"/>
  <c r="D43" i="14"/>
  <c r="D44" i="14"/>
  <c r="D22" i="14"/>
  <c r="D33" i="14"/>
  <c r="E33" i="12"/>
  <c r="E37" i="12"/>
  <c r="E35" i="12"/>
  <c r="E31" i="12"/>
  <c r="E29" i="12"/>
  <c r="E24" i="8"/>
  <c r="E25" i="8"/>
  <c r="D24" i="8"/>
  <c r="D25" i="8"/>
  <c r="C24" i="8"/>
  <c r="C25" i="8"/>
  <c r="B24" i="8"/>
  <c r="B25" i="8"/>
  <c r="E26" i="8"/>
  <c r="E27" i="8"/>
  <c r="E28" i="8"/>
  <c r="B26" i="8"/>
  <c r="B27" i="8"/>
  <c r="B28" i="8"/>
  <c r="C26" i="8"/>
  <c r="C27" i="8"/>
  <c r="C28" i="8"/>
  <c r="D26" i="8"/>
  <c r="D27" i="8"/>
  <c r="D28" i="8"/>
  <c r="H15" i="8"/>
  <c r="G15" i="8"/>
  <c r="F15" i="8"/>
  <c r="E15" i="8"/>
  <c r="D15" i="8"/>
  <c r="C15" i="8"/>
  <c r="H5" i="8"/>
  <c r="G5" i="8"/>
  <c r="F5" i="8"/>
  <c r="E5" i="8"/>
  <c r="D5" i="8"/>
  <c r="C5" i="8"/>
  <c r="H6" i="8"/>
  <c r="H16" i="8"/>
  <c r="G16" i="8"/>
  <c r="G17" i="8"/>
  <c r="F16" i="8"/>
  <c r="E16" i="8"/>
  <c r="D16" i="8"/>
  <c r="C16" i="8"/>
  <c r="G6" i="8"/>
  <c r="G7" i="8"/>
  <c r="F6" i="8"/>
  <c r="E6" i="8"/>
  <c r="D6" i="8"/>
  <c r="F17" i="8"/>
  <c r="F18" i="8"/>
  <c r="F7" i="8"/>
  <c r="E7" i="8"/>
  <c r="C6" i="8"/>
  <c r="D7" i="8"/>
  <c r="E17" i="8"/>
  <c r="D17" i="8"/>
  <c r="C17" i="8"/>
  <c r="E18" i="8"/>
  <c r="F19" i="8"/>
  <c r="C7" i="8"/>
  <c r="D18" i="8"/>
  <c r="E19" i="8"/>
  <c r="C18" i="8"/>
  <c r="H17" i="8"/>
  <c r="D19" i="8"/>
  <c r="C19" i="8"/>
  <c r="H18" i="8"/>
  <c r="H19" i="8"/>
  <c r="G18" i="8"/>
  <c r="G19" i="8"/>
  <c r="C8" i="8"/>
  <c r="C9" i="8"/>
  <c r="H7" i="8"/>
  <c r="H8" i="8"/>
  <c r="G8" i="8"/>
  <c r="F8" i="8"/>
  <c r="E8" i="8"/>
  <c r="D8" i="8"/>
  <c r="H9" i="8"/>
  <c r="E9" i="8"/>
  <c r="D9" i="8"/>
  <c r="G9" i="8"/>
  <c r="F9" i="8"/>
  <c r="U19" i="15"/>
  <c r="U17" i="15"/>
  <c r="V17" i="15" s="1"/>
  <c r="S22" i="15"/>
  <c r="S23" i="15"/>
  <c r="O13" i="15"/>
  <c r="O35" i="15"/>
  <c r="O27" i="15"/>
  <c r="O25" i="15"/>
  <c r="P25" i="15" s="1"/>
  <c r="AW30" i="15"/>
  <c r="H30" i="15" s="1"/>
  <c r="AW24" i="15"/>
  <c r="AX24" i="15" s="1"/>
  <c r="I24" i="15" s="1"/>
  <c r="S35" i="15"/>
  <c r="T35" i="15" s="1"/>
  <c r="AU28" i="15"/>
  <c r="AV28" i="15" s="1"/>
  <c r="G28" i="15" s="1"/>
  <c r="AU22" i="15"/>
  <c r="AV22" i="15" s="1"/>
  <c r="G22" i="15" s="1"/>
  <c r="AU14" i="15"/>
  <c r="AV14" i="15" s="1"/>
  <c r="G14" i="15" s="1"/>
  <c r="AC30" i="15"/>
  <c r="AD30" i="15" s="1"/>
  <c r="AK28" i="15"/>
  <c r="AL28" i="15" s="1"/>
  <c r="AQ17" i="15"/>
  <c r="AR17" i="15" s="1"/>
  <c r="AE26" i="15"/>
  <c r="AF26" i="15" s="1"/>
  <c r="AE21" i="15"/>
  <c r="AF21" i="15" s="1"/>
  <c r="AC25" i="15"/>
  <c r="AD25" i="15" s="1"/>
  <c r="AK23" i="15"/>
  <c r="AL23" i="15" s="1"/>
  <c r="AI28" i="15"/>
  <c r="AJ28" i="15" s="1"/>
  <c r="AC32" i="15"/>
  <c r="AD32" i="15" s="1"/>
  <c r="AC26" i="15"/>
  <c r="AD26" i="15" s="1"/>
  <c r="AC13" i="15"/>
  <c r="AD13" i="15" s="1"/>
  <c r="AK24" i="15"/>
  <c r="AL24" i="15" s="1"/>
  <c r="AK18" i="15"/>
  <c r="AL18" i="15" s="1"/>
  <c r="AS31" i="15"/>
  <c r="AT31" i="15" s="1"/>
  <c r="AQ27" i="15"/>
  <c r="AR27" i="15" s="1"/>
  <c r="AG14" i="15"/>
  <c r="AH14" i="15" s="1"/>
  <c r="BA26" i="15"/>
  <c r="BB26" i="15" s="1"/>
  <c r="AW21" i="15"/>
  <c r="AX21" i="15" s="1"/>
  <c r="I21" i="15" s="1"/>
  <c r="AC31" i="15"/>
  <c r="AD31" i="15" s="1"/>
  <c r="AK25" i="15"/>
  <c r="AL25" i="15" s="1"/>
  <c r="AS32" i="15"/>
  <c r="AT32" i="15" s="1"/>
  <c r="AG25" i="15"/>
  <c r="AH25" i="15" s="1"/>
  <c r="AE16" i="15"/>
  <c r="AF16" i="15" s="1"/>
  <c r="AC22" i="15"/>
  <c r="AD22" i="15" s="1"/>
  <c r="AK20" i="15"/>
  <c r="AL20" i="15" s="1"/>
  <c r="AS27" i="15"/>
  <c r="AT27" i="15" s="1"/>
  <c r="AA31" i="15"/>
  <c r="AB31" i="15" s="1"/>
  <c r="AW27" i="15"/>
  <c r="AX27" i="15" s="1"/>
  <c r="AU35" i="15"/>
  <c r="AV35" i="15" s="1"/>
  <c r="AK13" i="15"/>
  <c r="AL13" i="15" s="1"/>
  <c r="AU25" i="15"/>
  <c r="AV25" i="15" s="1"/>
  <c r="AU19" i="15"/>
  <c r="AV19" i="15" s="1"/>
  <c r="AA19" i="15"/>
  <c r="AB19" i="15" s="1"/>
  <c r="AC15" i="15"/>
  <c r="AD15" i="15" s="1"/>
  <c r="AK22" i="15"/>
  <c r="AL22" i="15" s="1"/>
  <c r="AE23" i="15"/>
  <c r="AF23" i="15" s="1"/>
  <c r="AG26" i="15"/>
  <c r="AH26" i="15" s="1"/>
  <c r="AC23" i="15"/>
  <c r="AD23" i="15" s="1"/>
  <c r="AK17" i="15"/>
  <c r="AL17" i="15" s="1"/>
  <c r="AS24" i="15"/>
  <c r="AT24" i="15" s="1"/>
  <c r="AC29" i="15"/>
  <c r="AD29" i="15" s="1"/>
  <c r="AC27" i="15"/>
  <c r="AD27" i="15" s="1"/>
  <c r="AK27" i="15"/>
  <c r="AL27" i="15" s="1"/>
  <c r="AK21" i="15"/>
  <c r="AL21" i="15" s="1"/>
  <c r="AI32" i="15"/>
  <c r="AJ32" i="15" s="1"/>
  <c r="AS28" i="15"/>
  <c r="AT28" i="15" s="1"/>
  <c r="AQ24" i="15"/>
  <c r="AR24" i="15" s="1"/>
  <c r="AY15" i="15"/>
  <c r="AZ15" i="15" s="1"/>
  <c r="BA19" i="15"/>
  <c r="BB19" i="15" s="1"/>
  <c r="AA16" i="15"/>
  <c r="AB16" i="15" s="1"/>
  <c r="AK31" i="15"/>
  <c r="AL31" i="15" s="1"/>
  <c r="AI35" i="15"/>
  <c r="AJ35" i="15" s="1"/>
  <c r="AG28" i="15"/>
  <c r="AH28" i="15" s="1"/>
  <c r="AG23" i="15"/>
  <c r="AH23" i="15" s="1"/>
  <c r="AC28" i="15"/>
  <c r="AD28" i="15" s="1"/>
  <c r="AC14" i="15"/>
  <c r="AD14" i="15" s="1"/>
  <c r="AI31" i="15"/>
  <c r="AJ31" i="15" s="1"/>
  <c r="AC16" i="15"/>
  <c r="AD16" i="15" s="1"/>
  <c r="AA28" i="15"/>
  <c r="AB28" i="15" s="1"/>
  <c r="AA26" i="15"/>
  <c r="AB26" i="15" s="1"/>
  <c r="AI25" i="15"/>
  <c r="AJ25" i="15" s="1"/>
  <c r="AI19" i="15"/>
  <c r="AJ19" i="15" s="1"/>
  <c r="AS15" i="15"/>
  <c r="AT15" i="15" s="1"/>
  <c r="AS29" i="15"/>
  <c r="AT29" i="15" s="1"/>
  <c r="AQ14" i="15"/>
  <c r="AR14" i="15" s="1"/>
  <c r="AY31" i="15"/>
  <c r="AZ31" i="15" s="1"/>
  <c r="AA14" i="15"/>
  <c r="AB14" i="15" s="1"/>
  <c r="AI16" i="15"/>
  <c r="AJ16" i="15" s="1"/>
  <c r="AS26" i="15"/>
  <c r="AT26" i="15" s="1"/>
  <c r="AY24" i="15"/>
  <c r="AZ24" i="15" s="1"/>
  <c r="AA25" i="15"/>
  <c r="AB25" i="15" s="1"/>
  <c r="AI22" i="15"/>
  <c r="AJ22" i="15" s="1"/>
  <c r="AQ29" i="15"/>
  <c r="AR29" i="15" s="1"/>
  <c r="BA17" i="15"/>
  <c r="BB17" i="15" s="1"/>
  <c r="AY17" i="15"/>
  <c r="AZ17" i="15" s="1"/>
  <c r="BA16" i="15"/>
  <c r="BB16" i="15" s="1"/>
  <c r="BA32" i="15"/>
  <c r="BB32" i="15" s="1"/>
  <c r="AY30" i="15"/>
  <c r="AZ30" i="15" s="1"/>
  <c r="Y29" i="15"/>
  <c r="Z29" i="15" s="1"/>
  <c r="Y22" i="15"/>
  <c r="Z22" i="15" s="1"/>
  <c r="Y31" i="15"/>
  <c r="Z31" i="15" s="1"/>
  <c r="W31" i="15"/>
  <c r="X31" i="15" s="1"/>
  <c r="W20" i="15"/>
  <c r="X20" i="15" s="1"/>
  <c r="Y23" i="15"/>
  <c r="Z23" i="15" s="1"/>
  <c r="W25" i="15"/>
  <c r="X25" i="15" s="1"/>
  <c r="W17" i="15"/>
  <c r="X17" i="15" s="1"/>
  <c r="Y13" i="15"/>
  <c r="Z13" i="15" s="1"/>
  <c r="AC20" i="15"/>
  <c r="AD20" i="15" s="1"/>
  <c r="AC17" i="15"/>
  <c r="AD17" i="15" s="1"/>
  <c r="AA32" i="15"/>
  <c r="AB32" i="15" s="1"/>
  <c r="AA29" i="15"/>
  <c r="AB29" i="15" s="1"/>
  <c r="AA30" i="15"/>
  <c r="AB30" i="15" s="1"/>
  <c r="AK15" i="15"/>
  <c r="AL15" i="15" s="1"/>
  <c r="AI29" i="15"/>
  <c r="AJ29" i="15" s="1"/>
  <c r="AI26" i="15"/>
  <c r="AJ26" i="15" s="1"/>
  <c r="AI23" i="15"/>
  <c r="AJ23" i="15" s="1"/>
  <c r="AI20" i="15"/>
  <c r="AJ20" i="15" s="1"/>
  <c r="AS19" i="15"/>
  <c r="AT19" i="15" s="1"/>
  <c r="AS16" i="15"/>
  <c r="AT16" i="15" s="1"/>
  <c r="AQ30" i="15"/>
  <c r="AR30" i="15" s="1"/>
  <c r="AG20" i="15"/>
  <c r="AH20" i="15" s="1"/>
  <c r="AE18" i="15"/>
  <c r="AF18" i="15" s="1"/>
  <c r="AG17" i="15"/>
  <c r="AH17" i="15" s="1"/>
  <c r="AE15" i="15"/>
  <c r="AF15" i="15" s="1"/>
  <c r="AE31" i="15"/>
  <c r="AF31" i="15" s="1"/>
  <c r="AG31" i="15"/>
  <c r="AH31" i="15" s="1"/>
  <c r="AE29" i="15"/>
  <c r="AF29" i="15" s="1"/>
  <c r="AG22" i="15"/>
  <c r="AH22" i="15" s="1"/>
  <c r="AG30" i="15"/>
  <c r="AH30" i="15" s="1"/>
  <c r="AA27" i="15"/>
  <c r="AB27" i="15" s="1"/>
  <c r="AA24" i="15"/>
  <c r="AB24" i="15" s="1"/>
  <c r="AA21" i="15"/>
  <c r="AB21" i="15" s="1"/>
  <c r="AA22" i="15"/>
  <c r="AB22" i="15" s="1"/>
  <c r="AA13" i="15"/>
  <c r="AB13" i="15" s="1"/>
  <c r="AI21" i="15"/>
  <c r="AJ21" i="15" s="1"/>
  <c r="AI18" i="15"/>
  <c r="AJ18" i="15" s="1"/>
  <c r="AK30" i="15"/>
  <c r="AL30" i="15" s="1"/>
  <c r="AQ25" i="15"/>
  <c r="AR25" i="15" s="1"/>
  <c r="AC24" i="15"/>
  <c r="AD24" i="15" s="1"/>
  <c r="AC21" i="15"/>
  <c r="AD21" i="15" s="1"/>
  <c r="AC18" i="15"/>
  <c r="AD18" i="15" s="1"/>
  <c r="AC19" i="15"/>
  <c r="AD19" i="15" s="1"/>
  <c r="AA35" i="15"/>
  <c r="AB35" i="15" s="1"/>
  <c r="AK19" i="15"/>
  <c r="AL19" i="15" s="1"/>
  <c r="AK16" i="15"/>
  <c r="AL16" i="15" s="1"/>
  <c r="AI30" i="15"/>
  <c r="AJ30" i="15" s="1"/>
  <c r="AI27" i="15"/>
  <c r="AJ27" i="15" s="1"/>
  <c r="AI24" i="15"/>
  <c r="AJ24" i="15" s="1"/>
  <c r="AS23" i="15"/>
  <c r="AT23" i="15" s="1"/>
  <c r="AS20" i="15"/>
  <c r="AT20" i="15" s="1"/>
  <c r="AQ19" i="15"/>
  <c r="AR19" i="15" s="1"/>
  <c r="AQ16" i="15"/>
  <c r="AR16" i="15" s="1"/>
  <c r="AE35" i="15"/>
  <c r="AF35" i="15" s="1"/>
  <c r="BA25" i="15"/>
  <c r="BB25" i="15" s="1"/>
  <c r="BA18" i="15"/>
  <c r="BB18" i="15" s="1"/>
  <c r="AI15" i="15"/>
  <c r="AJ15" i="15" s="1"/>
  <c r="AI14" i="15"/>
  <c r="AJ14" i="15" s="1"/>
  <c r="AQ22" i="15"/>
  <c r="AR22" i="15" s="1"/>
  <c r="AA23" i="15"/>
  <c r="AB23" i="15" s="1"/>
  <c r="AA20" i="15"/>
  <c r="AB20" i="15" s="1"/>
  <c r="AA17" i="15"/>
  <c r="AB17" i="15" s="1"/>
  <c r="AA18" i="15"/>
  <c r="AB18" i="15" s="1"/>
  <c r="AA15" i="15"/>
  <c r="AB15" i="15" s="1"/>
  <c r="AI17" i="15"/>
  <c r="AJ17" i="15" s="1"/>
  <c r="AK32" i="15"/>
  <c r="AL32" i="15" s="1"/>
  <c r="AK29" i="15"/>
  <c r="AL29" i="15" s="1"/>
  <c r="AK26" i="15"/>
  <c r="AL26" i="15" s="1"/>
  <c r="AK14" i="15"/>
  <c r="AL14" i="15" s="1"/>
  <c r="AQ21" i="15"/>
  <c r="AR21" i="15" s="1"/>
  <c r="AS21" i="15"/>
  <c r="AT21" i="15" s="1"/>
  <c r="AS18" i="15"/>
  <c r="AT18" i="15" s="1"/>
  <c r="AQ32" i="15"/>
  <c r="AR32" i="15" s="1"/>
  <c r="AE14" i="15"/>
  <c r="AF14" i="15" s="1"/>
  <c r="AY23" i="15"/>
  <c r="AZ23" i="15" s="1"/>
  <c r="AY16" i="15"/>
  <c r="AZ16" i="15" s="1"/>
  <c r="AY32" i="15"/>
  <c r="AZ32" i="15" s="1"/>
  <c r="BA27" i="15"/>
  <c r="BB27" i="15" s="1"/>
  <c r="AY25" i="15"/>
  <c r="AZ25" i="15" s="1"/>
  <c r="BA24" i="15"/>
  <c r="BB24" i="15" s="1"/>
  <c r="AY22" i="15"/>
  <c r="AZ22" i="15" s="1"/>
  <c r="BA13" i="15"/>
  <c r="BB13" i="15" s="1"/>
  <c r="Y21" i="15"/>
  <c r="Z21" i="15" s="1"/>
  <c r="W19" i="15"/>
  <c r="X19" i="15" s="1"/>
  <c r="Y20" i="15"/>
  <c r="Z20" i="15" s="1"/>
  <c r="W23" i="15"/>
  <c r="X23" i="15" s="1"/>
  <c r="Y27" i="15"/>
  <c r="Z27" i="15" s="1"/>
  <c r="W28" i="15"/>
  <c r="X28" i="15" s="1"/>
  <c r="W16" i="15"/>
  <c r="X16" i="15" s="1"/>
  <c r="Y24" i="15"/>
  <c r="Z24" i="15" s="1"/>
  <c r="W26" i="15"/>
  <c r="X26" i="15" s="1"/>
  <c r="W14" i="15"/>
  <c r="X14" i="15" s="1"/>
  <c r="W13" i="15"/>
  <c r="X13" i="15" s="1"/>
  <c r="BE22" i="15"/>
  <c r="BF22" i="15" s="1"/>
  <c r="BC20" i="15"/>
  <c r="BD20" i="15" s="1"/>
  <c r="BE19" i="15"/>
  <c r="BF19" i="15" s="1"/>
  <c r="BC17" i="15"/>
  <c r="BD17" i="15" s="1"/>
  <c r="BE16" i="15"/>
  <c r="BF16" i="15" s="1"/>
  <c r="BE32" i="15"/>
  <c r="BF32" i="15" s="1"/>
  <c r="BC30" i="15"/>
  <c r="BD30" i="15" s="1"/>
  <c r="BE29" i="15"/>
  <c r="BF29" i="15" s="1"/>
  <c r="BC27" i="15"/>
  <c r="BD27" i="15" s="1"/>
  <c r="BC13" i="15"/>
  <c r="BD13" i="15" s="1"/>
  <c r="AQ18" i="15"/>
  <c r="AR18" i="15" s="1"/>
  <c r="AS17" i="15"/>
  <c r="AT17" i="15" s="1"/>
  <c r="AQ15" i="15"/>
  <c r="AR15" i="15" s="1"/>
  <c r="AQ31" i="15"/>
  <c r="AR31" i="15" s="1"/>
  <c r="AS30" i="15"/>
  <c r="AT30" i="15" s="1"/>
  <c r="AQ28" i="15"/>
  <c r="AR28" i="15" s="1"/>
  <c r="AQ35" i="15"/>
  <c r="AR35" i="15" s="1"/>
  <c r="AS14" i="15"/>
  <c r="AT14" i="15" s="1"/>
  <c r="AO27" i="15"/>
  <c r="AP27" i="15" s="1"/>
  <c r="AO24" i="15"/>
  <c r="AP24" i="15" s="1"/>
  <c r="AO21" i="15"/>
  <c r="AP21" i="15" s="1"/>
  <c r="AM16" i="15"/>
  <c r="AN16" i="15" s="1"/>
  <c r="AM31" i="15"/>
  <c r="AN31" i="15" s="1"/>
  <c r="AW18" i="15"/>
  <c r="AX18" i="15" s="1"/>
  <c r="AU16" i="15"/>
  <c r="AV16" i="15" s="1"/>
  <c r="AU32" i="15"/>
  <c r="AV32" i="15" s="1"/>
  <c r="AW31" i="15"/>
  <c r="AX31" i="15" s="1"/>
  <c r="I31" i="15" s="1"/>
  <c r="AU29" i="15"/>
  <c r="AV29" i="15" s="1"/>
  <c r="AW28" i="15"/>
  <c r="AX28" i="15" s="1"/>
  <c r="AU26" i="15"/>
  <c r="AV26" i="15" s="1"/>
  <c r="AW25" i="15"/>
  <c r="AX25" i="15" s="1"/>
  <c r="I25" i="15" s="1"/>
  <c r="AU23" i="15"/>
  <c r="AV23" i="15" s="1"/>
  <c r="AW15" i="15"/>
  <c r="AX15" i="15" s="1"/>
  <c r="AG16" i="15"/>
  <c r="AH16" i="15" s="1"/>
  <c r="AG32" i="15"/>
  <c r="AH32" i="15" s="1"/>
  <c r="AG21" i="15"/>
  <c r="AH21" i="15" s="1"/>
  <c r="AG19" i="15"/>
  <c r="AH19" i="15" s="1"/>
  <c r="AG18" i="15"/>
  <c r="AH18" i="15" s="1"/>
  <c r="AE28" i="15"/>
  <c r="AF28" i="15" s="1"/>
  <c r="BA21" i="15"/>
  <c r="BB21" i="15" s="1"/>
  <c r="BA14" i="15"/>
  <c r="BB14" i="15" s="1"/>
  <c r="AY28" i="15"/>
  <c r="AZ28" i="15" s="1"/>
  <c r="AY21" i="15"/>
  <c r="AZ21" i="15" s="1"/>
  <c r="BA20" i="15"/>
  <c r="BB20" i="15" s="1"/>
  <c r="AY18" i="15"/>
  <c r="AZ18" i="15" s="1"/>
  <c r="AY35" i="15"/>
  <c r="AZ35" i="15" s="1"/>
  <c r="Y17" i="15"/>
  <c r="Z17" i="15" s="1"/>
  <c r="W15" i="15"/>
  <c r="X15" i="15" s="1"/>
  <c r="Y16" i="15"/>
  <c r="Z16" i="15" s="1"/>
  <c r="W18" i="15"/>
  <c r="X18" i="15" s="1"/>
  <c r="Y19" i="15"/>
  <c r="Z19" i="15" s="1"/>
  <c r="W24" i="15"/>
  <c r="X24" i="15" s="1"/>
  <c r="Y28" i="15"/>
  <c r="Z28" i="15" s="1"/>
  <c r="W29" i="15"/>
  <c r="X29" i="15" s="1"/>
  <c r="W22" i="15"/>
  <c r="X22" i="15" s="1"/>
  <c r="Y14" i="15"/>
  <c r="Z14" i="15" s="1"/>
  <c r="Y15" i="15"/>
  <c r="Z15" i="15" s="1"/>
  <c r="BE26" i="15"/>
  <c r="BF26" i="15" s="1"/>
  <c r="BC24" i="15"/>
  <c r="BD24" i="15" s="1"/>
  <c r="BE23" i="15"/>
  <c r="BF23" i="15" s="1"/>
  <c r="BC21" i="15"/>
  <c r="BD21" i="15" s="1"/>
  <c r="BE20" i="15"/>
  <c r="BF20" i="15" s="1"/>
  <c r="BC18" i="15"/>
  <c r="BD18" i="15" s="1"/>
  <c r="BE17" i="15"/>
  <c r="BF17" i="15" s="1"/>
  <c r="BC15" i="15"/>
  <c r="BD15" i="15" s="1"/>
  <c r="BC31" i="15"/>
  <c r="BD31" i="15" s="1"/>
  <c r="BE15" i="15"/>
  <c r="BF15" i="15" s="1"/>
  <c r="AO31" i="15"/>
  <c r="AP31" i="15" s="1"/>
  <c r="AM29" i="15"/>
  <c r="AN29" i="15" s="1"/>
  <c r="AO28" i="15"/>
  <c r="AP28" i="15" s="1"/>
  <c r="AM26" i="15"/>
  <c r="AN26" i="15" s="1"/>
  <c r="AO25" i="15"/>
  <c r="AP25" i="15" s="1"/>
  <c r="AO22" i="15"/>
  <c r="AP22" i="15" s="1"/>
  <c r="AM20" i="15"/>
  <c r="AN20" i="15" s="1"/>
  <c r="AM19" i="15"/>
  <c r="AN19" i="15" s="1"/>
  <c r="AM35" i="15"/>
  <c r="AN35" i="15" s="1"/>
  <c r="AO14" i="15"/>
  <c r="AP14" i="15" s="1"/>
  <c r="AE30" i="15"/>
  <c r="AF30" i="15" s="1"/>
  <c r="AE27" i="15"/>
  <c r="AF27" i="15" s="1"/>
  <c r="AE25" i="15"/>
  <c r="AF25" i="15" s="1"/>
  <c r="AE24" i="15"/>
  <c r="AF24" i="15" s="1"/>
  <c r="AY27" i="15"/>
  <c r="AZ27" i="15" s="1"/>
  <c r="AY20" i="15"/>
  <c r="AZ20" i="15" s="1"/>
  <c r="BA31" i="15"/>
  <c r="BB31" i="15" s="1"/>
  <c r="AU13" i="15"/>
  <c r="AV13" i="15" s="1"/>
  <c r="AO19" i="15"/>
  <c r="AP19" i="15" s="1"/>
  <c r="AO16" i="15"/>
  <c r="AP16" i="15" s="1"/>
  <c r="AM30" i="15"/>
  <c r="AN30" i="15" s="1"/>
  <c r="AO26" i="15"/>
  <c r="AP26" i="15" s="1"/>
  <c r="AM23" i="15"/>
  <c r="AN23" i="15" s="1"/>
  <c r="AM14" i="15"/>
  <c r="AN14" i="15" s="1"/>
  <c r="AU27" i="15"/>
  <c r="AV27" i="15" s="1"/>
  <c r="AW16" i="15"/>
  <c r="AX16" i="15" s="1"/>
  <c r="AW22" i="15"/>
  <c r="AX22" i="15" s="1"/>
  <c r="AY13" i="15"/>
  <c r="AZ13" i="15" s="1"/>
  <c r="AW29" i="15"/>
  <c r="AX29" i="15" s="1"/>
  <c r="AU17" i="15"/>
  <c r="AV17" i="15" s="1"/>
  <c r="BE30" i="15"/>
  <c r="BF30" i="15" s="1"/>
  <c r="BC28" i="15"/>
  <c r="BD28" i="15" s="1"/>
  <c r="BE27" i="15"/>
  <c r="BF27" i="15" s="1"/>
  <c r="BC25" i="15"/>
  <c r="BD25" i="15" s="1"/>
  <c r="BE24" i="15"/>
  <c r="BF24" i="15" s="1"/>
  <c r="S17" i="15"/>
  <c r="T17" i="15" s="1"/>
  <c r="U16" i="15"/>
  <c r="S28" i="15"/>
  <c r="U25" i="15"/>
  <c r="S27" i="15"/>
  <c r="T27" i="15" s="1"/>
  <c r="S20" i="15"/>
  <c r="S32" i="15"/>
  <c r="U22" i="15"/>
  <c r="U13" i="15"/>
  <c r="V13" i="15" s="1"/>
  <c r="S21" i="15"/>
  <c r="U29" i="15"/>
  <c r="U26" i="15"/>
  <c r="S25" i="15"/>
  <c r="T25" i="15" s="1"/>
  <c r="U18" i="15"/>
  <c r="U23" i="15"/>
  <c r="S18" i="15"/>
  <c r="T18" i="15" s="1"/>
  <c r="U27" i="15"/>
  <c r="V27" i="15" s="1"/>
  <c r="S30" i="15"/>
  <c r="U30" i="15"/>
  <c r="O23" i="15"/>
  <c r="O26" i="15"/>
  <c r="P26" i="15" s="1"/>
  <c r="O21" i="15"/>
  <c r="O14" i="15"/>
  <c r="O19" i="15"/>
  <c r="P19" i="15" s="1"/>
  <c r="Q18" i="15"/>
  <c r="R18" i="15" s="1"/>
  <c r="O15" i="15"/>
  <c r="Q32" i="15"/>
  <c r="Q15" i="15"/>
  <c r="S26" i="15"/>
  <c r="T26" i="15" s="1"/>
  <c r="U20" i="15"/>
  <c r="S14" i="15"/>
  <c r="S29" i="15"/>
  <c r="T29" i="15" s="1"/>
  <c r="U21" i="15"/>
  <c r="V21" i="15" s="1"/>
  <c r="U14" i="15"/>
  <c r="BC22" i="15"/>
  <c r="BD22" i="15" s="1"/>
  <c r="BE21" i="15"/>
  <c r="BF21" i="15" s="1"/>
  <c r="BC19" i="15"/>
  <c r="BD19" i="15" s="1"/>
  <c r="BC14" i="15"/>
  <c r="BD14" i="15" s="1"/>
  <c r="BE13" i="15"/>
  <c r="BF13" i="15" s="1"/>
  <c r="AQ26" i="15"/>
  <c r="AR26" i="15" s="1"/>
  <c r="AS25" i="15"/>
  <c r="AT25" i="15" s="1"/>
  <c r="AQ23" i="15"/>
  <c r="AR23" i="15" s="1"/>
  <c r="AS22" i="15"/>
  <c r="AT22" i="15" s="1"/>
  <c r="AQ20" i="15"/>
  <c r="AR20" i="15" s="1"/>
  <c r="AQ13" i="15"/>
  <c r="AR13" i="15" s="1"/>
  <c r="AS13" i="15"/>
  <c r="AT13" i="15" s="1"/>
  <c r="AI13" i="15"/>
  <c r="AM25" i="15"/>
  <c r="AN25" i="15" s="1"/>
  <c r="AM22" i="15"/>
  <c r="AN22" i="15" s="1"/>
  <c r="AO18" i="15"/>
  <c r="AP18" i="15" s="1"/>
  <c r="AM32" i="15"/>
  <c r="AN32" i="15" s="1"/>
  <c r="AO13" i="15"/>
  <c r="AP13" i="15" s="1"/>
  <c r="AW26" i="15"/>
  <c r="AX26" i="15" s="1"/>
  <c r="I26" i="15" s="1"/>
  <c r="AU24" i="15"/>
  <c r="AV24" i="15" s="1"/>
  <c r="AW23" i="15"/>
  <c r="AX23" i="15" s="1"/>
  <c r="AU21" i="15"/>
  <c r="AV21" i="15" s="1"/>
  <c r="G21" i="15" s="1"/>
  <c r="AW20" i="15"/>
  <c r="AX20" i="15" s="1"/>
  <c r="I20" i="15" s="1"/>
  <c r="AU18" i="15"/>
  <c r="AV18" i="15" s="1"/>
  <c r="AW17" i="15"/>
  <c r="AX17" i="15" s="1"/>
  <c r="AU15" i="15"/>
  <c r="AV15" i="15" s="1"/>
  <c r="AU31" i="15"/>
  <c r="AV31" i="15" s="1"/>
  <c r="G31" i="15" s="1"/>
  <c r="AW13" i="15"/>
  <c r="AX13" i="15" s="1"/>
  <c r="AG24" i="15"/>
  <c r="AH24" i="15" s="1"/>
  <c r="AE22" i="15"/>
  <c r="AF22" i="15" s="1"/>
  <c r="AE19" i="15"/>
  <c r="AF19" i="15" s="1"/>
  <c r="AE17" i="15"/>
  <c r="AF17" i="15" s="1"/>
  <c r="AE20" i="15"/>
  <c r="AF20" i="15" s="1"/>
  <c r="AG13" i="15"/>
  <c r="AH13" i="15" s="1"/>
  <c r="AY19" i="15"/>
  <c r="AZ19" i="15" s="1"/>
  <c r="BA30" i="15"/>
  <c r="BB30" i="15" s="1"/>
  <c r="BA23" i="15"/>
  <c r="BB23" i="15" s="1"/>
  <c r="AY29" i="15"/>
  <c r="AZ29" i="15" s="1"/>
  <c r="BA28" i="15"/>
  <c r="BB28" i="15" s="1"/>
  <c r="AY26" i="15"/>
  <c r="AZ26" i="15" s="1"/>
  <c r="AY14" i="15"/>
  <c r="AZ14" i="15" s="1"/>
  <c r="Y25" i="15"/>
  <c r="Z25" i="15" s="1"/>
  <c r="Y18" i="15"/>
  <c r="Z18" i="15" s="1"/>
  <c r="Y26" i="15"/>
  <c r="Z26" i="15" s="1"/>
  <c r="W27" i="15"/>
  <c r="X27" i="15" s="1"/>
  <c r="Y32" i="15"/>
  <c r="Z32" i="15" s="1"/>
  <c r="W32" i="15"/>
  <c r="X32" i="15" s="1"/>
  <c r="W21" i="15"/>
  <c r="X21" i="15" s="1"/>
  <c r="Y30" i="15"/>
  <c r="Z30" i="15" s="1"/>
  <c r="W30" i="15"/>
  <c r="X30" i="15" s="1"/>
  <c r="W35" i="15"/>
  <c r="X35" i="15" s="1"/>
  <c r="BE18" i="15"/>
  <c r="BF18" i="15" s="1"/>
  <c r="BC16" i="15"/>
  <c r="BD16" i="15" s="1"/>
  <c r="BC32" i="15"/>
  <c r="BD32" i="15" s="1"/>
  <c r="BE31" i="15"/>
  <c r="BF31" i="15" s="1"/>
  <c r="BC29" i="15"/>
  <c r="BD29" i="15" s="1"/>
  <c r="P27" i="15"/>
  <c r="Q29" i="15"/>
  <c r="P35" i="15"/>
  <c r="H33" i="15"/>
  <c r="P13" i="15"/>
  <c r="O32" i="15"/>
  <c r="P32" i="15" s="1"/>
  <c r="U24" i="15"/>
  <c r="V24" i="15" s="1"/>
  <c r="T23" i="15"/>
  <c r="K23" i="15"/>
  <c r="Q14" i="15"/>
  <c r="R14" i="15" s="1"/>
  <c r="T22" i="15"/>
  <c r="K22" i="15"/>
  <c r="O16" i="15"/>
  <c r="M17" i="15"/>
  <c r="S16" i="15"/>
  <c r="T16" i="15" s="1"/>
  <c r="V19" i="15"/>
  <c r="M19" i="15"/>
  <c r="Q30" i="15"/>
  <c r="R30" i="15" s="1"/>
  <c r="O29" i="15"/>
  <c r="P29" i="15" s="1"/>
  <c r="O20" i="15"/>
  <c r="Q28" i="15"/>
  <c r="Q24" i="15"/>
  <c r="R24" i="15" s="1"/>
  <c r="O28" i="15"/>
  <c r="P28" i="15" s="1"/>
  <c r="O30" i="15"/>
  <c r="P30" i="15" s="1"/>
  <c r="O31" i="15"/>
  <c r="Q16" i="15"/>
  <c r="R16" i="15" s="1"/>
  <c r="Q17" i="15"/>
  <c r="R17" i="15" s="1"/>
  <c r="Q31" i="15"/>
  <c r="Q21" i="15"/>
  <c r="R21" i="15" s="1"/>
  <c r="Q23" i="15"/>
  <c r="R23" i="15" s="1"/>
  <c r="Q26" i="15"/>
  <c r="R26" i="15" s="1"/>
  <c r="O22" i="15"/>
  <c r="O17" i="15"/>
  <c r="Q13" i="15"/>
  <c r="R13" i="15" s="1"/>
  <c r="O18" i="15"/>
  <c r="P18" i="15" s="1"/>
  <c r="Q22" i="15"/>
  <c r="AU20" i="15"/>
  <c r="AV20" i="15" s="1"/>
  <c r="G20" i="15" s="1"/>
  <c r="AW14" i="15"/>
  <c r="AX14" i="15" s="1"/>
  <c r="I14" i="15" s="1"/>
  <c r="AU30" i="15"/>
  <c r="AV30" i="15" s="1"/>
  <c r="G30" i="15" s="1"/>
  <c r="AM13" i="15"/>
  <c r="AN13" i="15" s="1"/>
  <c r="AO29" i="15"/>
  <c r="AP29" i="15" s="1"/>
  <c r="AM17" i="15"/>
  <c r="AN17" i="15" s="1"/>
  <c r="BA15" i="15"/>
  <c r="BB15" i="15" s="1"/>
  <c r="BA29" i="15"/>
  <c r="BB29" i="15" s="1"/>
  <c r="AE32" i="15"/>
  <c r="AF32" i="15" s="1"/>
  <c r="G32" i="15" s="1"/>
  <c r="AG29" i="15"/>
  <c r="AH29" i="15" s="1"/>
  <c r="AM27" i="15"/>
  <c r="AN27" i="15" s="1"/>
  <c r="AO30" i="15"/>
  <c r="AP30" i="15" s="1"/>
  <c r="AO17" i="15"/>
  <c r="AP17" i="15" s="1"/>
  <c r="AO20" i="15"/>
  <c r="AP20" i="15" s="1"/>
  <c r="AO23" i="15"/>
  <c r="AP23" i="15" s="1"/>
  <c r="BC35" i="15"/>
  <c r="BD35" i="15" s="1"/>
  <c r="BE25" i="15"/>
  <c r="BF25" i="15" s="1"/>
  <c r="BE28" i="15"/>
  <c r="BF28" i="15" s="1"/>
  <c r="Q27" i="15"/>
  <c r="R27" i="15" s="1"/>
  <c r="Q25" i="15"/>
  <c r="R25" i="15" s="1"/>
  <c r="O24" i="15"/>
  <c r="P24" i="15" s="1"/>
  <c r="Q19" i="15"/>
  <c r="R19" i="15" s="1"/>
  <c r="Q20" i="15"/>
  <c r="R20" i="15" s="1"/>
  <c r="S19" i="15"/>
  <c r="T19" i="15" s="1"/>
  <c r="S15" i="15"/>
  <c r="T15" i="15" s="1"/>
  <c r="S31" i="15"/>
  <c r="T31" i="15" s="1"/>
  <c r="S13" i="15"/>
  <c r="T13" i="15" s="1"/>
  <c r="U31" i="15"/>
  <c r="S24" i="15"/>
  <c r="T24" i="15" s="1"/>
  <c r="U32" i="15"/>
  <c r="V32" i="15" s="1"/>
  <c r="U28" i="15"/>
  <c r="V28" i="15" s="1"/>
  <c r="U15" i="15"/>
  <c r="V15" i="15" s="1"/>
  <c r="AW32" i="15"/>
  <c r="AX32" i="15" s="1"/>
  <c r="I32" i="15" s="1"/>
  <c r="AW19" i="15"/>
  <c r="AX19" i="15" s="1"/>
  <c r="I19" i="15" s="1"/>
  <c r="AM24" i="15"/>
  <c r="AN24" i="15" s="1"/>
  <c r="AO32" i="15"/>
  <c r="AP32" i="15" s="1"/>
  <c r="AE13" i="15"/>
  <c r="AF13" i="15" s="1"/>
  <c r="G13" i="15" s="1"/>
  <c r="BA22" i="15"/>
  <c r="BB22" i="15" s="1"/>
  <c r="AG15" i="15"/>
  <c r="AH15" i="15" s="1"/>
  <c r="AG27" i="15"/>
  <c r="AH27" i="15" s="1"/>
  <c r="AO15" i="15"/>
  <c r="AP15" i="15" s="1"/>
  <c r="AM28" i="15"/>
  <c r="AN28" i="15" s="1"/>
  <c r="AM15" i="15"/>
  <c r="AN15" i="15" s="1"/>
  <c r="AM18" i="15"/>
  <c r="AN18" i="15" s="1"/>
  <c r="AM21" i="15"/>
  <c r="AN21" i="15" s="1"/>
  <c r="BE14" i="15"/>
  <c r="BF14" i="15" s="1"/>
  <c r="BC23" i="15"/>
  <c r="BD23" i="15" s="1"/>
  <c r="BC26" i="15"/>
  <c r="BD26" i="15" s="1"/>
  <c r="J23" i="15"/>
  <c r="L19" i="15"/>
  <c r="L17" i="15"/>
  <c r="J22" i="15"/>
  <c r="G25" i="15"/>
  <c r="G33" i="15"/>
  <c r="F13" i="15"/>
  <c r="F25" i="15"/>
  <c r="F27" i="15"/>
  <c r="M28" i="15"/>
  <c r="L28" i="15"/>
  <c r="I27" i="15"/>
  <c r="H27" i="15"/>
  <c r="M15" i="15"/>
  <c r="L15" i="15"/>
  <c r="M32" i="15"/>
  <c r="L32" i="15"/>
  <c r="V31" i="15"/>
  <c r="M31" i="15"/>
  <c r="L31" i="15"/>
  <c r="K31" i="15"/>
  <c r="J31" i="15"/>
  <c r="K19" i="15"/>
  <c r="J19" i="15"/>
  <c r="R22" i="15"/>
  <c r="I22" i="15"/>
  <c r="H22" i="15"/>
  <c r="I13" i="15"/>
  <c r="H13" i="15"/>
  <c r="P22" i="15"/>
  <c r="F22" i="15"/>
  <c r="I23" i="15"/>
  <c r="H23" i="15"/>
  <c r="R31" i="15"/>
  <c r="I16" i="15"/>
  <c r="H16" i="15"/>
  <c r="P20" i="15"/>
  <c r="F20" i="15"/>
  <c r="J16" i="15"/>
  <c r="K16" i="15"/>
  <c r="F16" i="15"/>
  <c r="P16" i="15"/>
  <c r="G16" i="15"/>
  <c r="L21" i="15"/>
  <c r="M21" i="15"/>
  <c r="J14" i="15"/>
  <c r="T14" i="15"/>
  <c r="K14" i="15"/>
  <c r="J26" i="15"/>
  <c r="K26" i="15"/>
  <c r="R32" i="15"/>
  <c r="I18" i="15"/>
  <c r="H18" i="15"/>
  <c r="P14" i="15"/>
  <c r="F14" i="15"/>
  <c r="G26" i="15"/>
  <c r="F26" i="15"/>
  <c r="V30" i="15"/>
  <c r="M30" i="15"/>
  <c r="L30" i="15"/>
  <c r="M27" i="15"/>
  <c r="L27" i="15"/>
  <c r="L23" i="15"/>
  <c r="V23" i="15"/>
  <c r="M23" i="15"/>
  <c r="K25" i="15"/>
  <c r="J25" i="15"/>
  <c r="L29" i="15"/>
  <c r="V29" i="15"/>
  <c r="M29" i="15"/>
  <c r="M13" i="15"/>
  <c r="L13" i="15"/>
  <c r="T32" i="15"/>
  <c r="K32" i="15"/>
  <c r="J32" i="15"/>
  <c r="K27" i="15"/>
  <c r="J27" i="15"/>
  <c r="T28" i="15"/>
  <c r="K28" i="15"/>
  <c r="J28" i="15"/>
  <c r="K17" i="15"/>
  <c r="J17" i="15"/>
  <c r="K24" i="15"/>
  <c r="J24" i="15"/>
  <c r="K15" i="15"/>
  <c r="J15" i="15"/>
  <c r="G24" i="15"/>
  <c r="F24" i="15"/>
  <c r="G18" i="15"/>
  <c r="F18" i="15"/>
  <c r="P17" i="15"/>
  <c r="G17" i="15"/>
  <c r="F17" i="15"/>
  <c r="H26" i="15"/>
  <c r="I17" i="15"/>
  <c r="H17" i="15"/>
  <c r="P31" i="15"/>
  <c r="F31" i="15"/>
  <c r="R28" i="15"/>
  <c r="I28" i="15"/>
  <c r="H28" i="15"/>
  <c r="F29" i="15"/>
  <c r="G29" i="15"/>
  <c r="L24" i="15"/>
  <c r="M24" i="15"/>
  <c r="F32" i="15"/>
  <c r="R29" i="15"/>
  <c r="I29" i="15"/>
  <c r="H29" i="15"/>
  <c r="L14" i="15"/>
  <c r="V14" i="15"/>
  <c r="M14" i="15"/>
  <c r="J29" i="15"/>
  <c r="K29" i="15"/>
  <c r="L20" i="15"/>
  <c r="V20" i="15"/>
  <c r="M20" i="15"/>
  <c r="R15" i="15"/>
  <c r="I15" i="15"/>
  <c r="H15" i="15"/>
  <c r="P15" i="15"/>
  <c r="G15" i="15"/>
  <c r="F15" i="15"/>
  <c r="G19" i="15"/>
  <c r="F19" i="15"/>
  <c r="P21" i="15"/>
  <c r="P23" i="15"/>
  <c r="G23" i="15"/>
  <c r="F23" i="15"/>
  <c r="T30" i="15"/>
  <c r="K30" i="15"/>
  <c r="J30" i="15"/>
  <c r="K18" i="15"/>
  <c r="J18" i="15"/>
  <c r="V18" i="15"/>
  <c r="M18" i="15"/>
  <c r="L18" i="15"/>
  <c r="L26" i="15"/>
  <c r="V26" i="15"/>
  <c r="M26" i="15"/>
  <c r="T21" i="15"/>
  <c r="K21" i="15"/>
  <c r="J21" i="15"/>
  <c r="V22" i="15"/>
  <c r="M22" i="15"/>
  <c r="L22" i="15"/>
  <c r="T20" i="15"/>
  <c r="K20" i="15"/>
  <c r="J20" i="15"/>
  <c r="V25" i="15"/>
  <c r="M25" i="15"/>
  <c r="L25" i="15"/>
  <c r="V16" i="15"/>
  <c r="M16" i="15"/>
  <c r="L16" i="15"/>
  <c r="D32" i="11"/>
  <c r="E32" i="11" s="1"/>
  <c r="D20" i="13" s="1"/>
  <c r="D19" i="13" s="1"/>
  <c r="L33" i="15" l="1"/>
  <c r="F30" i="15"/>
  <c r="F21" i="15"/>
  <c r="F28" i="15"/>
  <c r="H19" i="15"/>
  <c r="AX30" i="15"/>
  <c r="I30" i="15" s="1"/>
  <c r="D121" i="10"/>
  <c r="D27" i="11" s="1"/>
  <c r="H31" i="15"/>
  <c r="H25" i="15"/>
  <c r="H20" i="15"/>
  <c r="H21" i="15"/>
  <c r="E40" i="10"/>
  <c r="E103" i="10"/>
  <c r="E102" i="10" s="1"/>
  <c r="H32" i="15"/>
  <c r="G27" i="15"/>
  <c r="H14" i="15"/>
  <c r="E51" i="12"/>
  <c r="D21" i="13" s="1"/>
  <c r="J13" i="15"/>
  <c r="AJ13" i="15"/>
  <c r="K13" i="15" s="1"/>
  <c r="H24" i="15"/>
  <c r="E65" i="10"/>
  <c r="E44" i="10" s="1"/>
  <c r="E125" i="10" s="1"/>
  <c r="E126" i="10" s="1"/>
  <c r="E135" i="10" s="1"/>
  <c r="E43" i="10"/>
  <c r="K33" i="15" s="1"/>
  <c r="E41" i="10"/>
  <c r="E104" i="10"/>
  <c r="E121" i="10" l="1"/>
  <c r="E122" i="10" s="1"/>
  <c r="E27" i="11"/>
  <c r="E28" i="11"/>
  <c r="D12" i="13" l="1"/>
  <c r="D11" i="13" s="1"/>
  <c r="D36" i="11"/>
  <c r="D35" i="11" s="1"/>
  <c r="E36" i="11" s="1"/>
  <c r="D18" i="13" l="1"/>
  <c r="E35" i="11"/>
  <c r="E30" i="13" l="1"/>
  <c r="E29" i="13" s="1"/>
  <c r="D17" i="13"/>
</calcChain>
</file>

<file path=xl/comments1.xml><?xml version="1.0" encoding="utf-8"?>
<comments xmlns="http://schemas.openxmlformats.org/spreadsheetml/2006/main">
  <authors>
    <author>cb3e</author>
    <author>Rogério Versage</author>
    <author>Acer</author>
    <author>Raquel Sousa</author>
    <author>Arthur Pergher</author>
  </authors>
  <commentList>
    <comment ref="B9" authorId="0">
      <text>
        <r>
          <rPr>
            <sz val="11"/>
            <color indexed="81"/>
            <rFont val="Tahoma"/>
            <family val="2"/>
          </rPr>
          <t xml:space="preserve">O LABEEE - Laboratório de Eficiência Energética em Edificações, localizado na UFSC, disponibiliza para uso, de forma livre, as planilhas de apoio à classificação do nível de eficiência energética de edificações com intuito didático e acadêmico. Os resultados obtidos por meio destas planilhas não têm valor legal ou comercial, podendo ser utilizados apenas para fins educativos e orientativos. O LABEEE se exime de qualquer responsabilidade quanto ao uso destas planilhas, ou por quaisquer danos diretos ou indiretos provenientes de sua utilização.  O LABEEE se reserva o direito de, sem aviso prévio, alterar, apagar ou complementar as informações disponibilizadas ou de suspender sua publicação temporária ou definitivamente.
</t>
        </r>
      </text>
    </comment>
    <comment ref="C10" authorId="1">
      <text>
        <r>
          <rPr>
            <b/>
            <sz val="11"/>
            <color indexed="81"/>
            <rFont val="Tahoma"/>
            <family val="2"/>
          </rPr>
          <t>Região geográfica homogênea quanto aos elementos climáticos que interferem nas relações entre ambiente construído e conforto humano de acordo com a NBR 15220-3</t>
        </r>
      </text>
    </comment>
    <comment ref="D10" authorId="2">
      <text>
        <r>
          <rPr>
            <b/>
            <sz val="11"/>
            <color indexed="81"/>
            <rFont val="Arial"/>
            <family val="2"/>
          </rPr>
          <t>A zona bioclimática apresentada na célula E10 deve se manter a mesma às que constarão nos cálculos de outros ambientes da mesma Unidade Habitacional.</t>
        </r>
      </text>
    </comment>
    <comment ref="C13" authorId="1">
      <text>
        <r>
          <rPr>
            <b/>
            <sz val="11"/>
            <color indexed="81"/>
            <rFont val="Tahoma"/>
            <family val="2"/>
          </rPr>
          <t xml:space="preserve">cob: variável que define se o ambiente possui fechamento superior voltado para o exterior (cobertura). 
</t>
        </r>
        <r>
          <rPr>
            <i/>
            <sz val="11"/>
            <color indexed="81"/>
            <rFont val="Tahoma"/>
            <family val="2"/>
          </rPr>
          <t>Observação: caso a cobertura do ambiente possuir abertura zenital de mais de 2% da área da cobertura, a avaliação deve ser feita pelo método de simulação.</t>
        </r>
        <r>
          <rPr>
            <b/>
            <sz val="9"/>
            <color indexed="81"/>
            <rFont val="Tahoma"/>
            <family val="2"/>
          </rPr>
          <t xml:space="preserve">
</t>
        </r>
      </text>
    </comment>
    <comment ref="C14" authorId="1">
      <text>
        <r>
          <rPr>
            <b/>
            <sz val="11"/>
            <color indexed="81"/>
            <rFont val="Tahoma"/>
            <family val="2"/>
          </rPr>
          <t xml:space="preserve">solo: variável que define o contato do piso do ambiente com o solo (laje de terrapleno). 
</t>
        </r>
      </text>
    </comment>
    <comment ref="C15" authorId="1">
      <text>
        <r>
          <rPr>
            <b/>
            <sz val="11"/>
            <color indexed="81"/>
            <rFont val="Tahoma"/>
            <family val="2"/>
          </rPr>
          <t xml:space="preserve">pil: variável que define o contato externo do piso do ambiente com o exterior através de pilotis.
</t>
        </r>
      </text>
    </comment>
    <comment ref="C16" authorId="1">
      <text>
        <r>
          <rPr>
            <b/>
            <sz val="11"/>
            <color indexed="81"/>
            <rFont val="Tahoma"/>
            <family val="2"/>
          </rPr>
          <t>Ucob [W/(m²K)]: transmitância térmica da cobertura.</t>
        </r>
        <r>
          <rPr>
            <sz val="9"/>
            <color indexed="81"/>
            <rFont val="Tahoma"/>
            <family val="2"/>
          </rPr>
          <t xml:space="preserve">
</t>
        </r>
      </text>
    </comment>
    <comment ref="C17" authorId="1">
      <text>
        <r>
          <rPr>
            <b/>
            <sz val="11"/>
            <color indexed="81"/>
            <rFont val="Tahoma"/>
            <family val="2"/>
          </rPr>
          <t xml:space="preserve">CTcob [kJ/(m²K)]: capacidade térmica da cobertura. </t>
        </r>
        <r>
          <rPr>
            <sz val="9"/>
            <color indexed="81"/>
            <rFont val="Tahoma"/>
            <family val="2"/>
          </rPr>
          <t xml:space="preserve">
</t>
        </r>
      </text>
    </comment>
    <comment ref="C18" authorId="1">
      <text>
        <r>
          <rPr>
            <b/>
            <sz val="11"/>
            <color indexed="81"/>
            <rFont val="Calibri"/>
            <family val="2"/>
          </rPr>
          <t>α</t>
        </r>
        <r>
          <rPr>
            <b/>
            <sz val="11"/>
            <color indexed="81"/>
            <rFont val="Tahoma"/>
            <family val="2"/>
          </rPr>
          <t>cob (adimensional): absortância da superfície externa da cobertura.</t>
        </r>
        <r>
          <rPr>
            <sz val="9"/>
            <color indexed="81"/>
            <rFont val="Tahoma"/>
            <family val="2"/>
          </rPr>
          <t xml:space="preserve">
</t>
        </r>
      </text>
    </comment>
    <comment ref="C19" authorId="1">
      <text>
        <r>
          <rPr>
            <b/>
            <sz val="11"/>
            <color indexed="81"/>
            <rFont val="Tahoma"/>
            <family val="2"/>
          </rPr>
          <t>Upar [W/(m²K)]: transmitância térmica das paredes externas.</t>
        </r>
        <r>
          <rPr>
            <sz val="9"/>
            <color indexed="81"/>
            <rFont val="Tahoma"/>
            <family val="2"/>
          </rPr>
          <t xml:space="preserve">
</t>
        </r>
      </text>
    </comment>
    <comment ref="C20" authorId="1">
      <text>
        <r>
          <rPr>
            <b/>
            <sz val="11"/>
            <color indexed="81"/>
            <rFont val="Tahoma"/>
            <family val="2"/>
          </rPr>
          <t>CTpar [kJ/(m²K)]: capacidade térmica das paredes.</t>
        </r>
        <r>
          <rPr>
            <sz val="9"/>
            <color indexed="81"/>
            <rFont val="Tahoma"/>
            <family val="2"/>
          </rPr>
          <t xml:space="preserve">
</t>
        </r>
      </text>
    </comment>
    <comment ref="C21" authorId="1">
      <text>
        <r>
          <rPr>
            <b/>
            <sz val="11"/>
            <color indexed="81"/>
            <rFont val="Calibri"/>
            <family val="2"/>
          </rPr>
          <t>α</t>
        </r>
        <r>
          <rPr>
            <b/>
            <sz val="11"/>
            <color indexed="81"/>
            <rFont val="Tahoma"/>
            <family val="2"/>
          </rPr>
          <t>par (adimensional): absortância externa das paredes  externas.</t>
        </r>
        <r>
          <rPr>
            <sz val="9"/>
            <color indexed="81"/>
            <rFont val="Tahoma"/>
            <family val="2"/>
          </rPr>
          <t xml:space="preserve">
</t>
        </r>
      </text>
    </comment>
    <comment ref="C22" authorId="1">
      <text>
        <r>
          <rPr>
            <b/>
            <sz val="11"/>
            <color indexed="81"/>
            <rFont val="Tahoma"/>
            <family val="2"/>
          </rPr>
          <t>CTbaixa: variável binária que define se os fechamentos dos ambientes possuem capacidade térmica baixa, considerando a média ponderada das capacidades térmicas das paredes externas, internas e fechamentos superiores do ambiente pelas respectivas áreas, excluindo as aberturas. Para este RTQ é considerada capacidade térmica baixa valores abaixo de 50 kJ/m²K. Se o ambiente possuir fechamentos com capacidade térmica baixa o valor deve ser 1 (um), se não possuir, o valor deve ser 0 (zero)</t>
        </r>
        <r>
          <rPr>
            <sz val="9"/>
            <color indexed="81"/>
            <rFont val="Tahoma"/>
            <family val="2"/>
          </rPr>
          <t xml:space="preserve">
</t>
        </r>
      </text>
    </comment>
    <comment ref="C23" authorId="1">
      <text>
        <r>
          <rPr>
            <b/>
            <sz val="11"/>
            <color indexed="81"/>
            <rFont val="Tahoma"/>
            <family val="2"/>
          </rPr>
          <t>CTalta: variável binária que define se os fechamentos dos ambientes possuem capacidade térmica alta, considerando a média ponderada das capacidades térmicas das paredes externas, internas e fechamentos superiores do ambiente pelas respectivas áreas, excluindo as aberturas. Para este RTQ é considerada capacidade térmica alta valores acima de 250 kJ/m²K. Se o ambiente possuir fechamentos com capacidade térmica alta o valor deve ser 1 (um), se não possuir, o valor deve ser 0 (zero)</t>
        </r>
        <r>
          <rPr>
            <sz val="9"/>
            <color indexed="81"/>
            <rFont val="Tahoma"/>
            <family val="2"/>
          </rPr>
          <t xml:space="preserve">
</t>
        </r>
      </text>
    </comment>
    <comment ref="C24" authorId="1">
      <text>
        <r>
          <rPr>
            <b/>
            <sz val="11"/>
            <color indexed="81"/>
            <rFont val="Tahoma"/>
            <family val="2"/>
          </rPr>
          <t>APambN (m²): área de parede externa do ambiente voltada para o Norte</t>
        </r>
        <r>
          <rPr>
            <sz val="9"/>
            <color indexed="81"/>
            <rFont val="Tahoma"/>
            <family val="2"/>
          </rPr>
          <t xml:space="preserve">
</t>
        </r>
      </text>
    </comment>
    <comment ref="C25" authorId="1">
      <text>
        <r>
          <rPr>
            <b/>
            <sz val="11"/>
            <color indexed="81"/>
            <rFont val="Tahoma"/>
            <family val="2"/>
          </rPr>
          <t>APambS (m²): área de parede externa do ambiente voltada para o Sul</t>
        </r>
        <r>
          <rPr>
            <sz val="9"/>
            <color indexed="81"/>
            <rFont val="Tahoma"/>
            <family val="2"/>
          </rPr>
          <t xml:space="preserve">
</t>
        </r>
      </text>
    </comment>
    <comment ref="C26" authorId="1">
      <text>
        <r>
          <rPr>
            <b/>
            <sz val="11"/>
            <color indexed="81"/>
            <rFont val="Tahoma"/>
            <family val="2"/>
          </rPr>
          <t>APambL (m²): área de parede externa do ambiente voltada para o Leste</t>
        </r>
        <r>
          <rPr>
            <sz val="9"/>
            <color indexed="81"/>
            <rFont val="Tahoma"/>
            <family val="2"/>
          </rPr>
          <t xml:space="preserve">
</t>
        </r>
      </text>
    </comment>
    <comment ref="C27" authorId="1">
      <text>
        <r>
          <rPr>
            <b/>
            <sz val="11"/>
            <color indexed="81"/>
            <rFont val="Tahoma"/>
            <family val="2"/>
          </rPr>
          <t>APambO (m²): área de parede externa do ambiente voltada para o Oeste</t>
        </r>
        <r>
          <rPr>
            <sz val="9"/>
            <color indexed="81"/>
            <rFont val="Tahoma"/>
            <family val="2"/>
          </rPr>
          <t xml:space="preserve">
</t>
        </r>
      </text>
    </comment>
    <comment ref="C28" authorId="1">
      <text>
        <r>
          <rPr>
            <b/>
            <sz val="11"/>
            <color indexed="81"/>
            <rFont val="Tahoma"/>
            <family val="2"/>
          </rPr>
          <t>AAbN (m²): área do vão na fachada voltada para o Norte</t>
        </r>
      </text>
    </comment>
    <comment ref="C29" authorId="1">
      <text>
        <r>
          <rPr>
            <b/>
            <sz val="11"/>
            <color indexed="81"/>
            <rFont val="Tahoma"/>
            <family val="2"/>
          </rPr>
          <t>AAbS (m²): área do vão na fachada voltada para o Sul</t>
        </r>
        <r>
          <rPr>
            <sz val="9"/>
            <color indexed="81"/>
            <rFont val="Tahoma"/>
            <family val="2"/>
          </rPr>
          <t xml:space="preserve">
</t>
        </r>
      </text>
    </comment>
    <comment ref="C30" authorId="1">
      <text>
        <r>
          <rPr>
            <b/>
            <sz val="11"/>
            <color indexed="81"/>
            <rFont val="Tahoma"/>
            <family val="2"/>
          </rPr>
          <t>AAbL (m²): área do vão na fachada voltada para o Leste</t>
        </r>
        <r>
          <rPr>
            <sz val="9"/>
            <color indexed="81"/>
            <rFont val="Tahoma"/>
            <family val="2"/>
          </rPr>
          <t xml:space="preserve">
</t>
        </r>
      </text>
    </comment>
    <comment ref="C31" authorId="1">
      <text>
        <r>
          <rPr>
            <b/>
            <sz val="11"/>
            <color indexed="81"/>
            <rFont val="Tahoma"/>
            <family val="2"/>
          </rPr>
          <t>AAbO (m²): área do vão na fachada voltada para o Oeste</t>
        </r>
        <r>
          <rPr>
            <sz val="9"/>
            <color indexed="81"/>
            <rFont val="Tahoma"/>
            <family val="2"/>
          </rPr>
          <t xml:space="preserve">
</t>
        </r>
      </text>
    </comment>
    <comment ref="C32" authorId="1">
      <text>
        <r>
          <rPr>
            <b/>
            <sz val="11"/>
            <color indexed="81"/>
            <rFont val="Tahoma"/>
            <family val="2"/>
          </rPr>
          <t xml:space="preserve">Fvent (adimensional): fator das aberturas para ventilação. </t>
        </r>
        <r>
          <rPr>
            <sz val="9"/>
            <color indexed="81"/>
            <rFont val="Tahoma"/>
            <family val="2"/>
          </rPr>
          <t xml:space="preserve">
</t>
        </r>
      </text>
    </comment>
    <comment ref="C33" authorId="1">
      <text>
        <r>
          <rPr>
            <b/>
            <sz val="11"/>
            <color indexed="81"/>
            <rFont val="Tahoma"/>
            <family val="2"/>
          </rPr>
          <t xml:space="preserve">somb: variável que define a presença de dispositivos de proteção solar externos às aberturas. Os valores variam de 0 (zero), quando não houver dispositivos de proteção solar, a 1 (um), quando houver venezianas que cubram 100% da abertura quando fechada. Caso se deseje pontuar “somb” com valores diferentes de 0 (zero) utilizando dispositivos de proteção solar que não venezianas, o percentual de sombreamento deve ser calculado de acordo com o método prescritivo proposto no Anexo I. Quando o dispositivo de proteção solar bloquear mais de 75% da incidência solar sobre as superfícies envidraçadas das aberturas, o valor de “somb” deve ser 1 (um). Caso seja obtido um percentual de proteção menor que 75%, o valor a ser inserido na variável “somb” é proporcional ao percentual obtido.
</t>
        </r>
        <r>
          <rPr>
            <i/>
            <sz val="11"/>
            <color indexed="81"/>
            <rFont val="Tahoma"/>
            <family val="2"/>
          </rPr>
          <t xml:space="preserve">
Observação: No caso de dormitórios, o dispositivo de sombreamento deve permitir escurecimento em todas as Zonas Bioclimáticas e ventilação nas Zonas Bioclimáticas 2 a 8 para que “somb” seja igual a 1 (um).</t>
        </r>
        <r>
          <rPr>
            <sz val="9"/>
            <color indexed="81"/>
            <rFont val="Tahoma"/>
            <family val="2"/>
          </rPr>
          <t xml:space="preserve">
</t>
        </r>
      </text>
    </comment>
    <comment ref="C34" authorId="1">
      <text>
        <r>
          <rPr>
            <b/>
            <sz val="11"/>
            <color indexed="81"/>
            <rFont val="Tahoma"/>
            <family val="2"/>
          </rPr>
          <t>AparInt (m2): área das paredes internas.</t>
        </r>
        <r>
          <rPr>
            <sz val="9"/>
            <color indexed="81"/>
            <rFont val="Tahoma"/>
            <family val="2"/>
          </rPr>
          <t xml:space="preserve">
</t>
        </r>
      </text>
    </comment>
    <comment ref="C36" authorId="1">
      <text>
        <r>
          <rPr>
            <b/>
            <i/>
            <sz val="11"/>
            <color indexed="81"/>
            <rFont val="Tahoma"/>
            <family val="2"/>
          </rPr>
          <t>C</t>
        </r>
        <r>
          <rPr>
            <b/>
            <sz val="11"/>
            <color indexed="81"/>
            <rFont val="Tahoma"/>
            <family val="2"/>
          </rPr>
          <t xml:space="preserve"> altura: coeficiente de altura, calculado pela razão entre o pé-direito e a área útil do ambiente.</t>
        </r>
      </text>
    </comment>
    <comment ref="C37" authorId="1">
      <text>
        <r>
          <rPr>
            <b/>
            <sz val="11"/>
            <color indexed="81"/>
            <rFont val="Tahoma"/>
            <family val="2"/>
          </rPr>
          <t xml:space="preserve">isol: variável binária que representa a existência de isolamento nas paredes externas e coberturas. São consideradas isoladas paredes externas e coberturas que apresentem isolamento térmico e transmitância térmica menor ou igual a 1,00 W/(m²K)
</t>
        </r>
        <r>
          <rPr>
            <sz val="9"/>
            <color indexed="81"/>
            <rFont val="Tahoma"/>
            <family val="2"/>
          </rPr>
          <t xml:space="preserve">
</t>
        </r>
      </text>
    </comment>
    <comment ref="C38" authorId="1">
      <text>
        <r>
          <rPr>
            <b/>
            <sz val="11"/>
            <color indexed="81"/>
            <rFont val="Tahoma"/>
            <family val="2"/>
          </rPr>
          <t>vid: variável binária que indica a existência de vidro duplo no ambiente. Se o ambiente possuir vidro duplo o valor deve ser 1 (um), se não possuir, o valor deve ser 0 (zero).</t>
        </r>
      </text>
    </comment>
    <comment ref="C39" authorId="1">
      <text>
        <r>
          <rPr>
            <b/>
            <sz val="11"/>
            <color indexed="81"/>
            <rFont val="Tahoma"/>
            <family val="2"/>
          </rPr>
          <t xml:space="preserve">UVID: Transmitancia do Vidro
</t>
        </r>
      </text>
    </comment>
    <comment ref="D85" authorId="3">
      <text>
        <r>
          <rPr>
            <b/>
            <sz val="11"/>
            <color indexed="81"/>
            <rFont val="Tahoma"/>
            <family val="2"/>
          </rPr>
          <t>Capacidade térmica das paredes externas [kJ/(m²K)].</t>
        </r>
      </text>
    </comment>
    <comment ref="D94" authorId="2">
      <text>
        <r>
          <rPr>
            <b/>
            <sz val="10"/>
            <color indexed="81"/>
            <rFont val="Tahoma"/>
            <family val="2"/>
          </rPr>
          <t>Para os pré requisitos de iluminação natural e ventilação natural:
Para dormitórios com área superior a 15,00 m2, o pré-requisito deve ser atendido para 15,00 m2. A área restante não precisa ser contabilizada para o pré-requisito;</t>
        </r>
      </text>
    </comment>
    <comment ref="D95" authorId="2">
      <text>
        <r>
          <rPr>
            <b/>
            <sz val="10"/>
            <color indexed="81"/>
            <rFont val="Tahoma"/>
            <family val="2"/>
          </rPr>
          <t>Para os pré requisitos de iluminação natural e ventilação natural:
A área de corredor deve ser desconsiderada do cálculo da área útil do ambiente, mesmo se o corredor for contíguo a algum ambiente de permanência prolongada.</t>
        </r>
      </text>
    </comment>
    <comment ref="D97" authorId="4">
      <text>
        <r>
          <rPr>
            <b/>
            <sz val="11"/>
            <color indexed="81"/>
            <rFont val="Tahoma"/>
            <family val="2"/>
          </rPr>
          <t>Considera-se a área efetiva de abertura para iluminação (em m²), sendo que para o cálculo desta área somente são consideradas as áreas passíveis de desobstrução total, excluindo caixilhos</t>
        </r>
      </text>
    </comment>
    <comment ref="D100" authorId="4">
      <text>
        <r>
          <rPr>
            <b/>
            <sz val="11"/>
            <color indexed="81"/>
            <rFont val="Tahoma"/>
            <family val="2"/>
          </rPr>
          <t>área efetiva de abertura para ventilação (m2)</t>
        </r>
      </text>
    </comment>
    <comment ref="D106" authorId="4">
      <text>
        <r>
          <rPr>
            <b/>
            <sz val="11"/>
            <color indexed="81"/>
            <rFont val="Tahoma"/>
            <family val="2"/>
          </rPr>
          <t>Descrever o tipo de abertura presente no ambiente: basculante, máximo-ar, de correr, de abrir, pivotante, vidro fixo, etc.</t>
        </r>
      </text>
    </comment>
    <comment ref="D120" authorId="2">
      <text>
        <r>
          <rPr>
            <b/>
            <sz val="11"/>
            <color indexed="81"/>
            <rFont val="Tahoma"/>
            <family val="2"/>
          </rPr>
          <t>Abaixo temos o cálculo automático da média ponderada da pontuação de cada ambiente pela sua respectiva área, porém para que o cálculo esteja correto, todos os ambientes devem ser copiados para as colunas ao lado (da coluna G em diante). As informações contidas na coluna E não estão sendo levadas em conta (com exceção da célula E10 que contém a zona bioclimática).</t>
        </r>
      </text>
    </comment>
  </commentList>
</comments>
</file>

<file path=xl/comments2.xml><?xml version="1.0" encoding="utf-8"?>
<comments xmlns="http://schemas.openxmlformats.org/spreadsheetml/2006/main">
  <authors>
    <author>Acer</author>
    <author>Rogério Versage</author>
  </authors>
  <commentList>
    <comment ref="B11" authorId="0">
      <text>
        <r>
          <rPr>
            <b/>
            <sz val="11"/>
            <color indexed="81"/>
            <rFont val="Tahoma"/>
            <family val="2"/>
          </rPr>
          <t>Primeiramente, esta planilha não necessita preenchimento. Ela é meramente informativa. O usuária ainda obterá a nota final na aba "Pontuação Total" caso não preencha essa aba.
Esta aba funciona da seguinte forma. Ela modifica os valores das variáveis e nos mostra qual seria a nota obtida caso o valor de tal variável variasse na quantia informada na coluna E. 
Por exemplo, para a AUamb. Digamos que a AUamb que temos é de 20 m^2, e que na célula E13 temos o valor 3,00. Então nas células F13 e G13 teremos a nota para GHR com o cálculo feito para uma AUamb de 23 m^2 (20 + 3) e nas células H13 e I13 teremos a nota para GHR com o cálculo feito para uma AUamb de 17 m^2 (20 - 3). O mesmo ocorre em consumo para aquecimento nas colunas seguintes. E o mesmo ocorre para as outras variáveis nas linhas seguintes.
Nas células na linha 33 temos os valores sem nenhuma variação, para utilizarmos como comparativo.
Salientamos que os resultados mostrados nas colunas de F a M são para a variação de UMA VARIÁVEL POR VEZ. Se tivermos 0,5 ou 0 na célula E14, nada mudará os resultados da linha 13 e da linha 15 a linha 32. A célula E14 irá variar apenas a variável Ucob da linha 14, as outras variáveis manterão o mesmo valor inserido na aba "Envoltória e Pré-req dos Amb". O mesmo ocorre para as outras linhas.
E os valores aqui cálculados referem-se as os dados da coluna E da  aba "Envoltória e Pré-req dos Amb". Caso se deseje guardar a avaliação aqui feita, o usuário pode utilizar os botões ao lado para copiar tais dados, antes de apagá-los da coluna E na aba anterior.</t>
        </r>
      </text>
    </comment>
    <comment ref="D12" authorId="0">
      <text>
        <r>
          <rPr>
            <b/>
            <sz val="11"/>
            <color indexed="81"/>
            <rFont val="Tahoma"/>
            <family val="2"/>
          </rPr>
          <t>Esta variação é a que recomendamos. Ela equivale a uma variação pequena, quase unitária. Assim, saberemos quanto será modificado o resultado final, para cada "unidade" variada.</t>
        </r>
      </text>
    </comment>
    <comment ref="E12" authorId="0">
      <text>
        <r>
          <rPr>
            <b/>
            <sz val="11"/>
            <color indexed="81"/>
            <rFont val="Tahoma"/>
            <family val="2"/>
          </rPr>
          <t>Essa variação é a que será avaliada. Recomendamos utilizar os valores da coluna D, porém o usuário pode modificar os valores a serem avaliados como desejar.</t>
        </r>
      </text>
    </comment>
    <comment ref="F12" authorId="0">
      <text>
        <r>
          <rPr>
            <b/>
            <sz val="11"/>
            <color indexed="81"/>
            <rFont val="Tahoma"/>
            <family val="2"/>
          </rPr>
          <t>Os valores de GHR apresentados nessa coluna equivalem aos valores cálculados adicionando o valor da célula da coluna "E" a variável respectiva a essa linha. Por exemplo, para a linha 13 teremos o valor original da AUamb + o valor da célula E13. Essa soma equivale ao novo AUamb, e então o cálculo é feito com esse novo valor e apresentado nessa coluna.</t>
        </r>
      </text>
    </comment>
    <comment ref="H12" authorId="0">
      <text>
        <r>
          <rPr>
            <b/>
            <sz val="11"/>
            <color indexed="81"/>
            <rFont val="Tahoma"/>
            <family val="2"/>
          </rPr>
          <t>Os valores de GHR apresentados nessa coluna equivalem aos valores cálculados subtraindo o valor da célula da coluna "E" a variável respectiva a essa linha. Por exemplo, para a linha 13 teremos o valor original da AUamb - o valor da célula E13. Essa subtração equivale ao novo AUamb, e então o cálculo é feito com esse novo valor e apresentado nessa coluna.</t>
        </r>
      </text>
    </comment>
    <comment ref="J12" authorId="0">
      <text>
        <r>
          <rPr>
            <b/>
            <sz val="11"/>
            <color indexed="81"/>
            <rFont val="Tahoma"/>
            <family val="2"/>
          </rPr>
          <t>Os valores de CA apresentados nessa coluna equivalem aos valores cálculados adicionando o valor da célula da coluna "E" a variável respectiva a essa linha. Por exemplo, para a linha 13 teremos o valor original da AUamb + o valor da célula E13. Essa soma equivale ao novo AUamb, e então o cálculo é feito com esse novo valor e apresentado nessa coluna.</t>
        </r>
      </text>
    </comment>
    <comment ref="L12" authorId="0">
      <text>
        <r>
          <rPr>
            <b/>
            <sz val="11"/>
            <color indexed="81"/>
            <rFont val="Tahoma"/>
            <family val="2"/>
          </rPr>
          <t>Os valores de CA apresentados nessa coluna equivalem aos valores cálculados subtraindo o valor da célula da coluna "E" a variável respectiva a essa linha. Por exemplo, para a linha 13 teremos o valor original da AUamb - o valor da célula E13. Essa subtração equivale ao novo AUamb, e então o cálculo é feito com esse novo valor e apresentado nessa coluna.</t>
        </r>
      </text>
    </comment>
    <comment ref="C13" authorId="1">
      <text>
        <r>
          <rPr>
            <b/>
            <sz val="12"/>
            <color indexed="81"/>
            <rFont val="Tahoma"/>
            <family val="2"/>
          </rPr>
          <t>AUamb (m²): área útil do ambiente analisado</t>
        </r>
      </text>
    </comment>
    <comment ref="C14" authorId="1">
      <text>
        <r>
          <rPr>
            <b/>
            <sz val="11"/>
            <color indexed="81"/>
            <rFont val="Tahoma"/>
            <family val="2"/>
          </rPr>
          <t>Ucob [W/(m²K)]: transmitância térmica da cobertura. Deve ser calculada considerando-se todas as camadas entre o interior e o exterior do ambiente. Se a cobertura do ambiente não estiver voltada para o exterior o valor deve ser 0 (zero);</t>
        </r>
        <r>
          <rPr>
            <sz val="9"/>
            <color indexed="81"/>
            <rFont val="Tahoma"/>
            <family val="2"/>
          </rPr>
          <t xml:space="preserve">
</t>
        </r>
      </text>
    </comment>
    <comment ref="C15" authorId="1">
      <text>
        <r>
          <rPr>
            <b/>
            <sz val="11"/>
            <color indexed="81"/>
            <rFont val="Tahoma"/>
            <family val="2"/>
          </rPr>
          <t>CTcob [kJ/(m²K)]: capacidade térmica da cobertura. Deve ser calculada considerando-se todas as camadas entre o interior e o exterior do ambiente. Se a cobertura do ambiente não estiver voltada para o exterior o valor deve ser 1 (um)</t>
        </r>
        <r>
          <rPr>
            <sz val="9"/>
            <color indexed="81"/>
            <rFont val="Tahoma"/>
            <family val="2"/>
          </rPr>
          <t xml:space="preserve">
</t>
        </r>
      </text>
    </comment>
    <comment ref="C16" authorId="1">
      <text>
        <r>
          <rPr>
            <b/>
            <sz val="11"/>
            <color indexed="81"/>
            <rFont val="Calibri"/>
            <family val="2"/>
          </rPr>
          <t>α</t>
        </r>
        <r>
          <rPr>
            <b/>
            <sz val="11"/>
            <color indexed="81"/>
            <rFont val="Tahoma"/>
            <family val="2"/>
          </rPr>
          <t>cob (adimensional): absortância da superfície externa da cobertura. O valor deve situar-se entre 0,10 e 0,90 ou 0 (zero) quando a cobertura do ambiente não estiver voltada para o exterior</t>
        </r>
        <r>
          <rPr>
            <sz val="9"/>
            <color indexed="81"/>
            <rFont val="Tahoma"/>
            <family val="2"/>
          </rPr>
          <t xml:space="preserve">
</t>
        </r>
      </text>
    </comment>
    <comment ref="C17" authorId="1">
      <text>
        <r>
          <rPr>
            <b/>
            <sz val="11"/>
            <color indexed="81"/>
            <rFont val="Tahoma"/>
            <family val="2"/>
          </rPr>
          <t>Upar [W/(m²K)]: transmitância térmica das paredes externas. Deve ser calculada considerando-se todas as camadas entre o interior e o exterior do ambiente</t>
        </r>
        <r>
          <rPr>
            <sz val="9"/>
            <color indexed="81"/>
            <rFont val="Tahoma"/>
            <family val="2"/>
          </rPr>
          <t xml:space="preserve">
</t>
        </r>
      </text>
    </comment>
    <comment ref="C18" authorId="1">
      <text>
        <r>
          <rPr>
            <b/>
            <sz val="11"/>
            <color indexed="81"/>
            <rFont val="Tahoma"/>
            <family val="2"/>
          </rPr>
          <t>CTpar [kJ/(m²K)]: média ponderada da capacidade térmica das paredes externas e internas do ambiente pelas respectivas áreas</t>
        </r>
        <r>
          <rPr>
            <sz val="9"/>
            <color indexed="81"/>
            <rFont val="Tahoma"/>
            <family val="2"/>
          </rPr>
          <t xml:space="preserve">
</t>
        </r>
      </text>
    </comment>
    <comment ref="C19" authorId="1">
      <text>
        <r>
          <rPr>
            <b/>
            <sz val="11"/>
            <color indexed="81"/>
            <rFont val="Calibri"/>
            <family val="2"/>
          </rPr>
          <t>α</t>
        </r>
        <r>
          <rPr>
            <b/>
            <sz val="11"/>
            <color indexed="81"/>
            <rFont val="Tahoma"/>
            <family val="2"/>
          </rPr>
          <t>par (adimensional): absortância externa das paredes  externas. O valor deve situar-se entre 0,10 e 0,90</t>
        </r>
        <r>
          <rPr>
            <sz val="9"/>
            <color indexed="81"/>
            <rFont val="Tahoma"/>
            <family val="2"/>
          </rPr>
          <t xml:space="preserve">
</t>
        </r>
      </text>
    </comment>
    <comment ref="C20" authorId="1">
      <text>
        <r>
          <rPr>
            <b/>
            <sz val="11"/>
            <color indexed="81"/>
            <rFont val="Tahoma"/>
            <family val="2"/>
          </rPr>
          <t>APambN (m²): área de parede externa do ambiente voltada para o Norte</t>
        </r>
        <r>
          <rPr>
            <sz val="9"/>
            <color indexed="81"/>
            <rFont val="Tahoma"/>
            <family val="2"/>
          </rPr>
          <t xml:space="preserve">
</t>
        </r>
      </text>
    </comment>
    <comment ref="C21" authorId="1">
      <text>
        <r>
          <rPr>
            <b/>
            <sz val="11"/>
            <color indexed="81"/>
            <rFont val="Tahoma"/>
            <family val="2"/>
          </rPr>
          <t>APambS (m²): área de parede externa do ambiente voltada para o Sul</t>
        </r>
        <r>
          <rPr>
            <sz val="9"/>
            <color indexed="81"/>
            <rFont val="Tahoma"/>
            <family val="2"/>
          </rPr>
          <t xml:space="preserve">
</t>
        </r>
      </text>
    </comment>
    <comment ref="C22" authorId="1">
      <text>
        <r>
          <rPr>
            <b/>
            <sz val="11"/>
            <color indexed="81"/>
            <rFont val="Tahoma"/>
            <family val="2"/>
          </rPr>
          <t>APambL (m²): área de parede externa do ambiente voltada para o Leste</t>
        </r>
        <r>
          <rPr>
            <sz val="9"/>
            <color indexed="81"/>
            <rFont val="Tahoma"/>
            <family val="2"/>
          </rPr>
          <t xml:space="preserve">
</t>
        </r>
      </text>
    </comment>
    <comment ref="C23" authorId="1">
      <text>
        <r>
          <rPr>
            <b/>
            <sz val="11"/>
            <color indexed="81"/>
            <rFont val="Tahoma"/>
            <family val="2"/>
          </rPr>
          <t>APambO (m²): área de parede externa do ambiente voltada para o Oeste</t>
        </r>
        <r>
          <rPr>
            <sz val="9"/>
            <color indexed="81"/>
            <rFont val="Tahoma"/>
            <family val="2"/>
          </rPr>
          <t xml:space="preserve">
</t>
        </r>
      </text>
    </comment>
    <comment ref="C24" authorId="1">
      <text>
        <r>
          <rPr>
            <b/>
            <sz val="11"/>
            <color indexed="81"/>
            <rFont val="Tahoma"/>
            <family val="2"/>
          </rPr>
          <t>AAbN (m²): área do vão na fachada voltada para o Norte</t>
        </r>
      </text>
    </comment>
    <comment ref="C25" authorId="1">
      <text>
        <r>
          <rPr>
            <b/>
            <sz val="11"/>
            <color indexed="81"/>
            <rFont val="Tahoma"/>
            <family val="2"/>
          </rPr>
          <t>AAbS (m²): área do vão na fachada voltada para o Sul</t>
        </r>
        <r>
          <rPr>
            <sz val="9"/>
            <color indexed="81"/>
            <rFont val="Tahoma"/>
            <family val="2"/>
          </rPr>
          <t xml:space="preserve">
</t>
        </r>
      </text>
    </comment>
    <comment ref="C26" authorId="1">
      <text>
        <r>
          <rPr>
            <b/>
            <sz val="11"/>
            <color indexed="81"/>
            <rFont val="Tahoma"/>
            <family val="2"/>
          </rPr>
          <t>AAbL (m²): área do vão na fachada voltada para o Leste</t>
        </r>
        <r>
          <rPr>
            <sz val="9"/>
            <color indexed="81"/>
            <rFont val="Tahoma"/>
            <family val="2"/>
          </rPr>
          <t xml:space="preserve">
</t>
        </r>
      </text>
    </comment>
    <comment ref="C27" authorId="1">
      <text>
        <r>
          <rPr>
            <b/>
            <sz val="11"/>
            <color indexed="81"/>
            <rFont val="Tahoma"/>
            <family val="2"/>
          </rPr>
          <t>AAbO (m²): área do vão na fachada voltada para o Oeste</t>
        </r>
        <r>
          <rPr>
            <sz val="9"/>
            <color indexed="81"/>
            <rFont val="Tahoma"/>
            <family val="2"/>
          </rPr>
          <t xml:space="preserve">
</t>
        </r>
      </text>
    </comment>
    <comment ref="C28" authorId="1">
      <text>
        <r>
          <rPr>
            <b/>
            <sz val="11"/>
            <color indexed="81"/>
            <rFont val="Tahoma"/>
            <family val="2"/>
          </rPr>
          <t>Fvent (adimensional): fator das aberturas para ventilação: valor adimensional proporcional à abertura para ventilação em relação a abertura do vão. Os valores variam de 0 (zero) a 1 (um). Por exemplo, se a abertura para ventilação for igual à abertura do vão, o valor deve ser 1 (um); se a abertura estiver totalmente obstruída, o valor deve ser 0 (zero); se a abertura possibilitar metade da área da abertura para ventilação, deve ser 0,5</t>
        </r>
        <r>
          <rPr>
            <sz val="9"/>
            <color indexed="81"/>
            <rFont val="Tahoma"/>
            <family val="2"/>
          </rPr>
          <t xml:space="preserve">
</t>
        </r>
      </text>
    </comment>
    <comment ref="C29" authorId="1">
      <text>
        <r>
          <rPr>
            <b/>
            <sz val="11"/>
            <color indexed="81"/>
            <rFont val="Tahoma"/>
            <family val="2"/>
          </rPr>
          <t xml:space="preserve">somb: variável que define a presença de dispositivos de proteção solar externos às aberturas. Os valores variam de 0 (zero), quando não houver dispositivos de proteção solar, a 1 (um), quando houver venezianas que cubram 100% da abertura quando fechada. Caso se deseje pontuar “somb” com valores diferentes de 0 (zero) utilizando dispositivos de proteção solar que não venezianas, o percentual de sombreamento deve ser calculado de acordo com o método prescritivo proposto no Anexo I. Quando o dispositivo de proteção solar bloquear mais de 75% da incidência solar sobre as superfícies envidraçadas das aberturas, o valor de “somb” deve ser 1 (um). Caso seja obtido um percentual de proteção menor que 75%, o valor a ser inserido na variável “somb” é proporcional ao percentual obtido.
</t>
        </r>
        <r>
          <rPr>
            <i/>
            <sz val="11"/>
            <color indexed="81"/>
            <rFont val="Tahoma"/>
            <family val="2"/>
          </rPr>
          <t xml:space="preserve">
Observação: No caso de dormitórios, o dispositivo de sombreamento deve permitir escurecimento em todas as Zonas Bioclimáticas e ventilação nas Zonas Bioclimáticas 2 a 8 para que “somb” seja igual a 1 (um).</t>
        </r>
        <r>
          <rPr>
            <sz val="9"/>
            <color indexed="81"/>
            <rFont val="Tahoma"/>
            <family val="2"/>
          </rPr>
          <t xml:space="preserve">
</t>
        </r>
      </text>
    </comment>
    <comment ref="C30" authorId="1">
      <text>
        <r>
          <rPr>
            <b/>
            <sz val="11"/>
            <color indexed="81"/>
            <rFont val="Tahoma"/>
            <family val="2"/>
          </rPr>
          <t>AparInt (m2): área das paredes internas, excluindo as aberturas e as paredes externas</t>
        </r>
        <r>
          <rPr>
            <sz val="9"/>
            <color indexed="81"/>
            <rFont val="Tahoma"/>
            <family val="2"/>
          </rPr>
          <t xml:space="preserve">
</t>
        </r>
      </text>
    </comment>
    <comment ref="C31" authorId="1">
      <text>
        <r>
          <rPr>
            <b/>
            <sz val="11"/>
            <color indexed="81"/>
            <rFont val="Tahoma"/>
            <family val="2"/>
          </rPr>
          <t>PD (m): pé-direito do ambiente analisado</t>
        </r>
        <r>
          <rPr>
            <sz val="9"/>
            <color indexed="81"/>
            <rFont val="Tahoma"/>
            <family val="2"/>
          </rPr>
          <t xml:space="preserve">
</t>
        </r>
      </text>
    </comment>
    <comment ref="C32" authorId="1">
      <text>
        <r>
          <rPr>
            <b/>
            <sz val="11"/>
            <color indexed="81"/>
            <rFont val="Tahoma"/>
            <family val="2"/>
          </rPr>
          <t xml:space="preserve">UVID (W/m².K): Transmitancia do Vidro
</t>
        </r>
        <r>
          <rPr>
            <i/>
            <sz val="11"/>
            <color indexed="81"/>
            <rFont val="Tahoma"/>
            <family val="2"/>
          </rPr>
          <t>Observação: Dado necessário apenas para as Zonas Bioclimáticas 1 e 2. Para as Zonas Bioclimáticas 3 a 8 pode-se deixar esta célula em branco ou preencher com zero</t>
        </r>
      </text>
    </comment>
    <comment ref="B33" authorId="0">
      <text>
        <r>
          <rPr>
            <b/>
            <sz val="11"/>
            <color indexed="81"/>
            <rFont val="Tahoma"/>
            <family val="2"/>
          </rPr>
          <t>O valor aqui informado é cálculado na aba "Envoltória e Pré-req dos Amb"</t>
        </r>
      </text>
    </comment>
  </commentList>
</comments>
</file>

<file path=xl/comments3.xml><?xml version="1.0" encoding="utf-8"?>
<comments xmlns="http://schemas.openxmlformats.org/spreadsheetml/2006/main">
  <authors>
    <author>Acer</author>
    <author>Michele</author>
  </authors>
  <commentList>
    <comment ref="D12" authorId="0">
      <text>
        <r>
          <rPr>
            <sz val="10"/>
            <color indexed="81"/>
            <rFont val="Tahoma"/>
            <family val="2"/>
          </rPr>
          <t>Área total de abertura para ventilação na fachada norte de todos os ambientes (incluindo banheiros, cozinha, e área de serviço)</t>
        </r>
      </text>
    </comment>
    <comment ref="D13" authorId="0">
      <text>
        <r>
          <rPr>
            <sz val="10"/>
            <color indexed="81"/>
            <rFont val="Tahoma"/>
            <family val="2"/>
          </rPr>
          <t>Área total de abertura para ventilação na fachada sul de todos os ambientes (incluindo banheiros, cozinha, e área de serviço)</t>
        </r>
      </text>
    </comment>
    <comment ref="D14" authorId="0">
      <text>
        <r>
          <rPr>
            <sz val="10"/>
            <color indexed="81"/>
            <rFont val="Tahoma"/>
            <family val="2"/>
          </rPr>
          <t>Área total de abertura para ventilação na fachada leste de todos os ambientes (incluindo banheiros, cozinha, e área de serviço)</t>
        </r>
      </text>
    </comment>
    <comment ref="D15" authorId="0">
      <text>
        <r>
          <rPr>
            <sz val="10"/>
            <color indexed="81"/>
            <rFont val="Tahoma"/>
            <family val="2"/>
          </rPr>
          <t>Área total de abertura para ventilação na fachada oeste de todos os ambientes (incluindo banheiros, cozinha, e área de serviço)</t>
        </r>
      </text>
    </comment>
    <comment ref="D20" authorId="1">
      <text>
        <r>
          <rPr>
            <sz val="10"/>
            <color indexed="81"/>
            <rFont val="Tahoma"/>
            <family val="2"/>
          </rPr>
          <t>Não se conta WCs (lavabo)</t>
        </r>
      </text>
    </comment>
  </commentList>
</comments>
</file>

<file path=xl/comments4.xml><?xml version="1.0" encoding="utf-8"?>
<comments xmlns="http://schemas.openxmlformats.org/spreadsheetml/2006/main">
  <authors>
    <author>Arthur Pergher</author>
    <author>Acer</author>
  </authors>
  <commentList>
    <comment ref="D11" authorId="0">
      <text>
        <r>
          <rPr>
            <b/>
            <sz val="11"/>
            <color indexed="81"/>
            <rFont val="Tahoma"/>
            <family val="2"/>
          </rPr>
          <t>Área total de abertura para ventilação na fachada norte de todos os ambientes (incluindo banheiros, cozinha, e área de serviço). VALOR COPIADO DA CÉLULA E12 DA PLANILHA "Pré-requisitos da UH".</t>
        </r>
      </text>
    </comment>
    <comment ref="D12" authorId="0">
      <text>
        <r>
          <rPr>
            <b/>
            <sz val="11"/>
            <color indexed="81"/>
            <rFont val="Tahoma"/>
            <family val="2"/>
          </rPr>
          <t>Área total de abertura para ventilação na fachada sul de todos os ambientes (incluindo banheiros, cozinha, e área de serviço). VALOR COPIADO DA CÉLULA E13 DA PLANILHA "Pré-requisitos da UH".</t>
        </r>
      </text>
    </comment>
    <comment ref="D13" authorId="0">
      <text>
        <r>
          <rPr>
            <b/>
            <sz val="11"/>
            <color indexed="81"/>
            <rFont val="Tahoma"/>
            <family val="2"/>
          </rPr>
          <t>Área total de abertura para ventilação na fachada leste de todos os ambientes (incluindo banheiros, cozinha, e área de serviço). VALOR COPIADO DA CÉLULA E14 DA PLANILHA "Pré-requisitos da UH".</t>
        </r>
      </text>
    </comment>
    <comment ref="D14" authorId="0">
      <text>
        <r>
          <rPr>
            <b/>
            <sz val="11"/>
            <color indexed="81"/>
            <rFont val="Tahoma"/>
            <family val="2"/>
          </rPr>
          <t>Área total de abertura para ventilação na fachada oeste de todos os ambientes (incluindo banheiros, cozinha, e área de serviço). VALOR COPIADO DA CÉLULA E15 DA PLANILHA "Pré-requisitos da UH".</t>
        </r>
      </text>
    </comment>
    <comment ref="D15" authorId="0">
      <text>
        <r>
          <rPr>
            <b/>
            <sz val="11"/>
            <color indexed="81"/>
            <rFont val="Tahoma"/>
            <family val="2"/>
          </rPr>
          <t>Área total de fachada na direção norte de todos os ambientes (incluindo banheiros, cozinha, e área de serviço)</t>
        </r>
      </text>
    </comment>
    <comment ref="D16" authorId="0">
      <text>
        <r>
          <rPr>
            <b/>
            <sz val="11"/>
            <color indexed="81"/>
            <rFont val="Tahoma"/>
            <family val="2"/>
          </rPr>
          <t>Área total de fachada na direção sul de todos os ambientes (incluindo banheiros, cozinha, e área de serviço)</t>
        </r>
      </text>
    </comment>
    <comment ref="D17" authorId="0">
      <text>
        <r>
          <rPr>
            <b/>
            <sz val="11"/>
            <color indexed="81"/>
            <rFont val="Tahoma"/>
            <family val="2"/>
          </rPr>
          <t>Área total de fachada na direção leste de todos os ambientes (incluindo banheiros, cozinha, e área de serviço)</t>
        </r>
      </text>
    </comment>
    <comment ref="D18" authorId="0">
      <text>
        <r>
          <rPr>
            <b/>
            <sz val="11"/>
            <color indexed="81"/>
            <rFont val="Tahoma"/>
            <family val="2"/>
          </rPr>
          <t>Área total de fachada na direção oeste de todos os ambientes (incluindo banheiros, cozinha, e área de serviço)</t>
        </r>
      </text>
    </comment>
    <comment ref="D19" authorId="0">
      <text>
        <r>
          <rPr>
            <b/>
            <sz val="11"/>
            <color indexed="81"/>
            <rFont val="Tahoma"/>
            <family val="2"/>
          </rPr>
          <t>Caso não seja aplicável preencher com "1 ou 2", sendo 1 o pavimento terreo.</t>
        </r>
      </text>
    </comment>
    <comment ref="D27" authorId="0">
      <text>
        <r>
          <rPr>
            <b/>
            <sz val="11"/>
            <color indexed="81"/>
            <rFont val="Tahoma"/>
            <family val="2"/>
          </rPr>
          <t>Todos os ambientes de permanência prolongada da UH devem ter utilização de dispositivos especiais (como venezianas móveis, peitoris ventilados, torres de vento e outros), que favoreçam o desempenho da ventilação natural mas permitam o controle da luz natural, da incidência de chuvas e dos raios solares e a manutenção da privacidade</t>
        </r>
      </text>
    </comment>
    <comment ref="D30" authorId="0">
      <text>
        <r>
          <rPr>
            <b/>
            <sz val="11"/>
            <color indexed="81"/>
            <rFont val="Tahoma"/>
            <family val="2"/>
          </rPr>
          <t>Todos os ambientes de permanência prolongada da UH devem apresentar aberturas externas (janelas, rasgos, peitoris ventilados, etc.) cujo vão livre tenham o centro geométrico localizado entre 0,40 e 0,70 m medidos a partir do piso.</t>
        </r>
      </text>
    </comment>
    <comment ref="D32" authorId="1">
      <text>
        <r>
          <rPr>
            <b/>
            <sz val="11"/>
            <color indexed="81"/>
            <rFont val="Tahoma"/>
            <family val="2"/>
          </rPr>
          <t>Aplicável somente na Zona Bioclimática 8.
Na Zona Bioclimática 8, as aberturas intermediárias (portas, rasgos, etc.) devem apresentar permeabilidade em relação à circulação do ar, quer seja na própria folha da esquadria, quer na forma de bandeiras móveis ou rasgos verticais. A área livre desses componentes deve corresponder a, no mínimo, 30% da área da abertura intermediária quando a mesma estiver fechada e devem ser passíveis de fechamento.</t>
        </r>
      </text>
    </comment>
    <comment ref="D34" authorId="1">
      <text>
        <r>
          <rPr>
            <b/>
            <sz val="11"/>
            <color indexed="81"/>
            <rFont val="Tahoma"/>
            <family val="2"/>
          </rPr>
          <t>A maioria dos ambientes de permanência prolongada, cozinha e área de serviço/lavanderia (50% mais 1) com iluminação natural lateral deve ter profundidade máxima calculada através da Equação abaixo. Caso existam aberturas em paredes diferentes em um mesmo ambiente, é considerada a menor profundidade.
P ≤ 2,4 . hₐ
Onde:
P: profundidade do ambiente (m);
ha: distância medida entre o piso e a altura máxima da abertura para iluminação (m), excluindo caixilhos.</t>
        </r>
      </text>
    </comment>
    <comment ref="D36" authorId="1">
      <text>
        <r>
          <rPr>
            <b/>
            <sz val="11"/>
            <color indexed="81"/>
            <rFont val="Tahoma"/>
            <family val="2"/>
          </rPr>
          <t>Cada ambiente de permanência prolongada, cozinha e área de serviço/lavanderia deve ter refletância do teto acima de 0,6.</t>
        </r>
      </text>
    </comment>
    <comment ref="D38" authorId="1">
      <text>
        <r>
          <rPr>
            <b/>
            <sz val="11"/>
            <color indexed="81"/>
            <rFont val="Tahoma"/>
            <family val="2"/>
          </rPr>
          <t>As UHs devem possuir combinação de sistemas de uso de água da chuva e equipamentos economizadores, conforme a Equação 3.64, que se encontra na página 103 do RTQ - Edificações Residenciais, item 3.3.3. O valor da bonificação deve ser cálculado manualmente e adicionado na célula E38.</t>
        </r>
      </text>
    </comment>
    <comment ref="D39" authorId="1">
      <text>
        <r>
          <rPr>
            <sz val="12"/>
            <color indexed="81"/>
            <rFont val="Tahoma"/>
            <family val="2"/>
          </rPr>
          <t xml:space="preserve">Para obtenção desta bonificação:
- a envoltória da UH deve atingir nível A de eficiência quando condicionada artificialmente , conforme item 3.1.2.2 do RTQ-R;
- condicionadores de ar do tipo janela e do tipo split devem possuir ENCE A ou Selo Procel e estar de acordo com as normas brasileiras de condicionadores de ar domésticos;
Obs1: Deve-se considerar a última versão das Tabelas do PBE para condicionadores de ar, publicadas na página do Inmetro.
Obs2: Não havendo equipamentos com ENCE A na capacidade desejada, estes podem ser divididos em dois ou mais equipamentos de menor capacidade.
- condicionadores de ar do tipo central ou condicionadores não regulamentados pelo Inmetro devem atender aos parâmetros definidos nos Requisitos Técnicos da Qualidade para o Nível de Eficiência Energética de Edifícios Comerciais, de Serviços e Públicos (RTQ-C), publicado pelo Inmetro;
- as cargas térmicas de projeto do sistema de aquecimento e resfriamento de ar devem ser calculadas de acordo com normas e manuais de engenharia, de comprovada aceitação nacional ou internacional, com publicação posterior ao ano de 2000, como por exemplo o ASHRAE Handbook of Fundamentals.
</t>
        </r>
      </text>
    </comment>
    <comment ref="D48" authorId="1">
      <text>
        <r>
          <rPr>
            <b/>
            <sz val="11"/>
            <color indexed="81"/>
            <rFont val="Tahoma"/>
            <family val="2"/>
          </rPr>
          <t>Caso o sistema de aquecimento da água na edificação seja partilhado por mais de uma UH, este deve possibilitar medição individualizada.</t>
        </r>
      </text>
    </comment>
  </commentList>
</comments>
</file>

<file path=xl/comments5.xml><?xml version="1.0" encoding="utf-8"?>
<comments xmlns="http://schemas.openxmlformats.org/spreadsheetml/2006/main">
  <authors>
    <author>Acer</author>
  </authors>
  <commentList>
    <comment ref="C11" authorId="0">
      <text>
        <r>
          <rPr>
            <b/>
            <sz val="11"/>
            <color indexed="81"/>
            <rFont val="Tahoma"/>
            <family val="2"/>
          </rPr>
          <t>Observação: O baixo nível de eficiência atribuído a UHs que não possuem sistema de aquecimento de água se justifica pois caso o usuário queira aquecer a água para o banho fica restrito à instalação de chuveiro elétrico . O nível D atribuído às regiões Norte e Nordeste equivale ao nível máximo possível de ser atingido por sistemas de aquecimento elétrico. Nas demais regiões não é aceitável a ausência de sistema de aquecimento de água instalado na UH, portanto, nestes casos, é atribuído o menor nível possível (nível E).</t>
        </r>
      </text>
    </comment>
    <comment ref="C12" authorId="0">
      <text>
        <r>
          <rPr>
            <b/>
            <sz val="11"/>
            <color indexed="81"/>
            <rFont val="Tahoma"/>
            <family val="2"/>
          </rPr>
          <t>Nas regiões Norte e Nordeste, caso não exista sistema de aquecimento de água instalado na UH, deve-se adotar equivalente numérico de aquecimento de água (EqNumAA) igual a 2, ou seja, nível D. Nas demais regiões, caso não exista sistema de aquecimento de água instalado na UH, deve-se adotar equivalente numérico de aquecimento de água (EqNumAA) igual a 1, ou seja, nível E.</t>
        </r>
      </text>
    </comment>
    <comment ref="C13" authorId="0">
      <text>
        <r>
          <rPr>
            <b/>
            <sz val="11"/>
            <color indexed="81"/>
            <rFont val="Tahoma"/>
            <family val="2"/>
          </rPr>
          <t>Para reservatórios de água quente instalados em sistemas que não sejam de aquecimento solar deve-se comprovar que a estrutura do reservatório apresenta resistência térmica mínima de 2,20 (m²K)/W.</t>
        </r>
      </text>
    </comment>
    <comment ref="C16" authorId="0">
      <text>
        <r>
          <rPr>
            <b/>
            <sz val="11"/>
            <color indexed="81"/>
            <rFont val="Tahoma"/>
            <family val="2"/>
          </rPr>
          <t>Como pré-requisito para os níveis A e B, o projeto de instalações hidrossanitárias deve comprovar que as tubulações metálicas para água quente possuem isolamento térmico com espessura mínima, em centímetros (cm), determinada pela Tabela 3.44 do RTQ-R, de acordo com o diâmetro nominal da tubulação. Nas tubulações não metálicas para água quente, a espessura mínima do isolamento deve ser de 1,0 cm, para qualquer diâmetro nominal de tubulação, com condutividade térmica entre 0,032 e 0,040 W/mK.</t>
        </r>
      </text>
    </comment>
    <comment ref="C20" authorId="0">
      <text>
        <r>
          <rPr>
            <b/>
            <sz val="11"/>
            <color indexed="81"/>
            <rFont val="Tahoma"/>
            <family val="2"/>
          </rPr>
          <t>Preencher somente caso a condutividade térmica da tubulação não esteja entre 0,032 e 0,040 W/(mK)</t>
        </r>
      </text>
    </comment>
    <comment ref="C24" authorId="0">
      <text>
        <r>
          <rPr>
            <b/>
            <sz val="11"/>
            <color indexed="81"/>
            <rFont val="Tahoma"/>
            <family val="2"/>
          </rPr>
          <t>Para obtenção dos níveis A ou B os coletores solares para aquecimento de água devem possuir ENCE A ou B ou Selo Procel. Os reservatórios devem possuir Selo Procel.</t>
        </r>
      </text>
    </comment>
    <comment ref="C27" authorId="0">
      <text>
        <r>
          <rPr>
            <b/>
            <sz val="11"/>
            <color indexed="81"/>
            <rFont val="Tahoma"/>
            <family val="2"/>
          </rPr>
          <t>Sistemas que apresentarem o volume de armazenamento real (volume do reservatório do projeto sob análise) entre 40 e 50 litros por metro quadrado de coletor,ou superior a 150 litros/m2 de coletor, atingirão no máximo nível D (EqNum = 2). Sistemas que apresentarem o volume de armazenamento real inferior a 40 litros/m2 de coletor atingirão nível E (EqNum = 1).</t>
        </r>
      </text>
    </comment>
    <comment ref="C29" authorId="0">
      <text>
        <r>
          <rPr>
            <b/>
            <sz val="11"/>
            <color indexed="81"/>
            <rFont val="Tahoma"/>
            <family val="2"/>
          </rPr>
          <t>A únidade a ser utilizada neste campo pode ser escolhida pelo usuário, desde que este mantenha a mesma únidade em todas as demandas, e faça a ponderação de acordo na hora de se obter a classificação geral.</t>
        </r>
      </text>
    </comment>
    <comment ref="C35" authorId="0">
      <text>
        <r>
          <rPr>
            <b/>
            <sz val="11"/>
            <color indexed="81"/>
            <rFont val="Tahoma"/>
            <family val="2"/>
          </rPr>
          <t>Para obtenção do nível A, os aquecedores a gás do tipo instantâneo e de acumulação devem possuir ENCE A ou B.</t>
        </r>
      </text>
    </comment>
    <comment ref="C36" authorId="0">
      <text>
        <r>
          <rPr>
            <b/>
            <sz val="11"/>
            <color indexed="81"/>
            <rFont val="Tahoma"/>
            <family val="2"/>
          </rPr>
          <t>Para classificação nos níveis A ou B de aquecedores a gás do tipo instantâneo, a potência do sistema de aquecimento informada pelo projetista deve estar dentro de uma variação de 20%, para mais ou para menos, do dimensionamento realizado conforme a metodologia do item 3.2.2.2 do RTQ-R. Para classificação nos níveis A ou B de sistema de acumulação individual e sistema central coletivo a gás, a potência do sistema de aquecimento e o volume de armazenamento informado pelo projetista devem estar dentro de uma variação de 20%, para mais ou para menos, do cálculo realizado conforme a metodologia do item 3.2.2.2 do RTQ-R.</t>
        </r>
      </text>
    </comment>
    <comment ref="C37" authorId="0">
      <text>
        <r>
          <rPr>
            <b/>
            <sz val="11"/>
            <color indexed="81"/>
            <rFont val="Tahoma"/>
            <family val="2"/>
          </rPr>
          <t>A únidade a ser utilizada neste campo pode ser escolhida pelo usuário, desde que este mantenha a mesma únidade em todas as demandas, e faça a ponderação de acordo na hora de se obter a classificação geral.</t>
        </r>
      </text>
    </comment>
    <comment ref="C38" authorId="0">
      <text>
        <r>
          <rPr>
            <b/>
            <sz val="11"/>
            <color indexed="81"/>
            <rFont val="Tahoma"/>
            <family val="2"/>
          </rPr>
          <t>Para a classificação do sistema de aquecimento a gás, o cálculo deve ser feito manualmente e a nota (A, B, C, D ou E) deve ser adicionada na célula D38.</t>
        </r>
        <r>
          <rPr>
            <b/>
            <i/>
            <sz val="11"/>
            <color indexed="81"/>
            <rFont val="Tahoma"/>
            <family val="2"/>
          </rPr>
          <t xml:space="preserve">
Aquecedores a gás classificados pelo PBE</t>
        </r>
        <r>
          <rPr>
            <b/>
            <sz val="11"/>
            <color indexed="81"/>
            <rFont val="Tahoma"/>
            <family val="2"/>
          </rPr>
          <t xml:space="preserve">
Os aquecedores a gás do tipo instantâneo e de acumulação devem possuir ENCE e estar de acordo com normas técnicas brasileiras para aquecedores a gás. Deve-se adotar a classificação da ENCE obtida na Tabela do PBE, considerando a última versão publicada na página do Inmetro, e identificar o equivalente numérico na Tabela 2.1 do RTQ-R.
</t>
        </r>
        <r>
          <rPr>
            <b/>
            <i/>
            <sz val="11"/>
            <color indexed="81"/>
            <rFont val="Tahoma"/>
            <family val="2"/>
          </rPr>
          <t>Aquecedores a gás não presentes no PBE</t>
        </r>
        <r>
          <rPr>
            <b/>
            <sz val="11"/>
            <color indexed="81"/>
            <rFont val="Tahoma"/>
            <family val="2"/>
          </rPr>
          <t xml:space="preserve">
Os aquecedores a gás não enquadrados no item anterior devem ser classificados de acordo com os níveis e requisitos a seguir:
 Níveis A e B: os aquecedores de água devem atender aos requisitos mínimos de eficiência apresentados na Tabela 3.48 do RTQ-R;
 Nível C: os aquecedores de água devem atender aos requisitos mínimos de eficiência apresentados na Tabela 3.49 do RTQ-R;
 Nível D: quando o sistema não se enquadrar nos níveis acima.
Lembrando que os pré-requisitos das células C35 e C36 devem ser levados em conta para a classificação do sistema de aquecimento a gás.</t>
        </r>
      </text>
    </comment>
    <comment ref="C41" authorId="0">
      <text>
        <r>
          <rPr>
            <b/>
            <sz val="11"/>
            <color indexed="81"/>
            <rFont val="Tahoma"/>
            <family val="2"/>
          </rPr>
          <t>Sistemas de aquecimento de água utilizando bombas de calor recebem eficiência de acordo com o coeficiente de performance (COP), medido de acordo com as normas ASHRAE Standard 146, ASHRAE 13256 ou AHRI 1160. O nível de eficiência é obtido através da Tabela 3.50 e o equivalente numérico identificado na Tabela 2.1.</t>
        </r>
      </text>
    </comment>
    <comment ref="C42" authorId="0">
      <text>
        <r>
          <rPr>
            <b/>
            <sz val="11"/>
            <color indexed="81"/>
            <rFont val="Tahoma"/>
            <family val="2"/>
          </rPr>
          <t>A únidade a ser utilizada neste campo pode ser escolhida pelo usuário, desde que este mantenha a mesma únidade em todas as demandas, e faça a ponderação de acordo na hora de se obter a classificação geral.</t>
        </r>
      </text>
    </comment>
    <comment ref="C48" authorId="0">
      <text>
        <r>
          <rPr>
            <b/>
            <sz val="11"/>
            <color indexed="81"/>
            <rFont val="Tahoma"/>
            <family val="2"/>
          </rPr>
          <t>A únidade a ser utilizada neste campo pode ser escolhida pelo usuário, desde que este mantenha a mesma únidade em todas as demandas, e faça a ponderação de acordo na hora de se obter a classificação geral.</t>
        </r>
      </text>
    </comment>
    <comment ref="C52" authorId="0">
      <text>
        <r>
          <rPr>
            <b/>
            <sz val="11"/>
            <color indexed="81"/>
            <rFont val="Tahoma"/>
            <family val="2"/>
          </rPr>
          <t>A únidade a ser utilizada neste campo pode ser escolhida pelo usuário, desde que este mantenha a mesma únidade em todas as demandas, e faça a ponderação de acordo na hora de se obter a classificação geral.</t>
        </r>
      </text>
    </comment>
    <comment ref="C56" authorId="0">
      <text>
        <r>
          <rPr>
            <b/>
            <sz val="11"/>
            <color indexed="81"/>
            <rFont val="Tahoma"/>
            <family val="2"/>
          </rPr>
          <t>A únidade a ser utilizada neste campo pode ser escolhida pelo usuário, desde que este mantenha a mesma únidade em todas as demandas, e faça a ponderação de acordo na hora de se obter a classificação geral.</t>
        </r>
      </text>
    </comment>
    <comment ref="C61" authorId="0">
      <text>
        <r>
          <rPr>
            <b/>
            <sz val="11"/>
            <color indexed="81"/>
            <rFont val="Tahoma"/>
            <family val="2"/>
          </rPr>
          <t>A únidade a ser utilizada neste campo pode ser escolhida pelo usuário, desde que este mantenha a mesma únidade em todas as demandas, e faça a ponderação de acordo na hora de se obter a classificação geral.</t>
        </r>
      </text>
    </comment>
    <comment ref="C65" authorId="0">
      <text>
        <r>
          <rPr>
            <b/>
            <sz val="11"/>
            <color indexed="81"/>
            <rFont val="Tahoma"/>
            <family val="2"/>
          </rPr>
          <t>O nível de eficiência de sistemas mistos de aquecimento de água em uma mesma UH é:
 o maior dos equivalentes numéricos obtidos quando houver a combinação de sistemas de aquecimento solar com aquecimento a gás ou bomba de calor; e
 o equivalente numérico do sistema de aquecimento solar, quando este for combinado com aquecimento elétrico, desde que o aquecimento solar corresponda a uma fração solar mínima de 70%.
Para os demais casos de sistemas mistos de aquecimento de água, o nível de eficiência é a combinação das porcentagens de demanda de aquecimento de água de cada sistema multiplicado pelo seu respectivo equivalente numérico, de acordo com a Equação 3.37 do RTQ-R. A classificação geral é obtida por meio da Tabela 2.2 do RTQ-R.</t>
        </r>
      </text>
    </comment>
  </commentList>
</comments>
</file>

<file path=xl/sharedStrings.xml><?xml version="1.0" encoding="utf-8"?>
<sst xmlns="http://schemas.openxmlformats.org/spreadsheetml/2006/main" count="450" uniqueCount="286">
  <si>
    <t>Cobertura</t>
  </si>
  <si>
    <t>Ambiente</t>
  </si>
  <si>
    <t>ZB3</t>
  </si>
  <si>
    <t>Caracteristicas das Aberturas</t>
  </si>
  <si>
    <t>Situação do piso e cobertura</t>
  </si>
  <si>
    <t>Característica construtiva</t>
  </si>
  <si>
    <t>ZB1</t>
  </si>
  <si>
    <t>ZB2</t>
  </si>
  <si>
    <t>ZB4</t>
  </si>
  <si>
    <t>ZB6</t>
  </si>
  <si>
    <t>ZB7</t>
  </si>
  <si>
    <t>ZB8</t>
  </si>
  <si>
    <t>HVAC - REFRIGERAÇÃO</t>
  </si>
  <si>
    <t>Características Gerais</t>
  </si>
  <si>
    <t>HVAC - AQUECIMENTO</t>
  </si>
  <si>
    <t>ESCALAS NV - REFRIGERAÇÃO</t>
  </si>
  <si>
    <t>B</t>
  </si>
  <si>
    <t>A</t>
  </si>
  <si>
    <t>C</t>
  </si>
  <si>
    <t>D</t>
  </si>
  <si>
    <t>E</t>
  </si>
  <si>
    <t>ZERO</t>
  </si>
  <si>
    <t>INTERVALO</t>
  </si>
  <si>
    <t>ESCALAS HVAC - REFRIGERAÇÃO</t>
  </si>
  <si>
    <t>ESCALAS HVAC - AQUECIMENTO</t>
  </si>
  <si>
    <t>Fvent</t>
  </si>
  <si>
    <t>Somb</t>
  </si>
  <si>
    <t xml:space="preserve">PD </t>
  </si>
  <si>
    <t xml:space="preserve">AparInt </t>
  </si>
  <si>
    <t>ZB</t>
  </si>
  <si>
    <t>GHR</t>
  </si>
  <si>
    <t>Indicador de Graus-hora para Resfriamento</t>
  </si>
  <si>
    <t>CR</t>
  </si>
  <si>
    <t>Consumo Relativo para Refrigeração</t>
  </si>
  <si>
    <t>Consumo Relativo para Aquecimento</t>
  </si>
  <si>
    <t>Zona Bioclimática</t>
  </si>
  <si>
    <t>CA</t>
  </si>
  <si>
    <t>m²</t>
  </si>
  <si>
    <t>W/m².K</t>
  </si>
  <si>
    <t>kJ/m².K</t>
  </si>
  <si>
    <t>m</t>
  </si>
  <si>
    <t>ºC.h</t>
  </si>
  <si>
    <t>kWh/m².ano</t>
  </si>
  <si>
    <t>AUamb</t>
  </si>
  <si>
    <t>Ucob</t>
  </si>
  <si>
    <r>
      <rPr>
        <b/>
        <sz val="10"/>
        <rFont val="Calibri"/>
        <family val="2"/>
      </rPr>
      <t>α</t>
    </r>
    <r>
      <rPr>
        <b/>
        <sz val="9"/>
        <rFont val="Arial"/>
        <family val="2"/>
      </rPr>
      <t>cob</t>
    </r>
  </si>
  <si>
    <t>Upar</t>
  </si>
  <si>
    <t>αpar</t>
  </si>
  <si>
    <t>CTbaixa</t>
  </si>
  <si>
    <t>isol</t>
  </si>
  <si>
    <t>Uvid</t>
  </si>
  <si>
    <t>vid</t>
  </si>
  <si>
    <t>Paredes Externas</t>
  </si>
  <si>
    <t>Áreas de Paredes Externas do Ambiente</t>
  </si>
  <si>
    <t>Áreas de Aberturas Externas</t>
  </si>
  <si>
    <t>Características de Isolamento Térmico para ZB 1 e ZB2</t>
  </si>
  <si>
    <t>CTcob</t>
  </si>
  <si>
    <t>adimensional</t>
  </si>
  <si>
    <t>CTpar</t>
  </si>
  <si>
    <t>binário</t>
  </si>
  <si>
    <t>Identificação</t>
  </si>
  <si>
    <t>CTalta</t>
  </si>
  <si>
    <t>Medição individual de água?</t>
  </si>
  <si>
    <t>Medição individual de energia?</t>
  </si>
  <si>
    <t>Pré Requisitos da Envoltória</t>
  </si>
  <si>
    <t>Paredes externas</t>
  </si>
  <si>
    <t>ZB1 e ZB2</t>
  </si>
  <si>
    <t>ZB3 a ZB6</t>
  </si>
  <si>
    <t>ZB3 a ZB7</t>
  </si>
  <si>
    <t>ZB7 e ZB8</t>
  </si>
  <si>
    <t>Ucob, Ctcob e αcob atendem?</t>
  </si>
  <si>
    <t>Iluminação Natural</t>
  </si>
  <si>
    <t>Ai/Auamb (%)</t>
  </si>
  <si>
    <t>Atende 12,5%?</t>
  </si>
  <si>
    <t>Ventilação Natural</t>
  </si>
  <si>
    <t>Área de abertura para ventilação</t>
  </si>
  <si>
    <t>Av/Auamb (%)</t>
  </si>
  <si>
    <t>Atende?</t>
  </si>
  <si>
    <t>ZB1 a ZB6</t>
  </si>
  <si>
    <t>Tipo de abertura</t>
  </si>
  <si>
    <t>Abertura passível de fechamento?</t>
  </si>
  <si>
    <t>ZB8 ou média mensal de temperatura mínima acima ou igual a 20ºC?</t>
  </si>
  <si>
    <t>Ventilação Cruzada</t>
  </si>
  <si>
    <t>Área Aberturas orientação Norte</t>
  </si>
  <si>
    <t>Área Aberturas orientação Sul</t>
  </si>
  <si>
    <t>Área Aberturas orientação Leste</t>
  </si>
  <si>
    <t>Área Aberturas orientação Oeste</t>
  </si>
  <si>
    <t>A1</t>
  </si>
  <si>
    <t>A2</t>
  </si>
  <si>
    <t>A2/A1</t>
  </si>
  <si>
    <t>Banheiros com Ventilação Natural</t>
  </si>
  <si>
    <t>Nº Banheiros com ventilação natural</t>
  </si>
  <si>
    <t>Atende % mínima?</t>
  </si>
  <si>
    <t>Atende A2/A1 maior ou igual a 0,25?</t>
  </si>
  <si>
    <t>Atende 50% ou mais dos banheiros com ventilação natural?</t>
  </si>
  <si>
    <t>Porosidade</t>
  </si>
  <si>
    <r>
      <t>AATVS (m</t>
    </r>
    <r>
      <rPr>
        <sz val="10"/>
        <rFont val="Calibri"/>
        <family val="2"/>
      </rPr>
      <t>²</t>
    </r>
    <r>
      <rPr>
        <sz val="8.5"/>
        <rFont val="Arial"/>
        <family val="2"/>
      </rPr>
      <t>)</t>
    </r>
  </si>
  <si>
    <r>
      <t>AATVL (m</t>
    </r>
    <r>
      <rPr>
        <sz val="10"/>
        <rFont val="Calibri"/>
        <family val="2"/>
      </rPr>
      <t>²</t>
    </r>
    <r>
      <rPr>
        <sz val="8.5"/>
        <rFont val="Arial"/>
        <family val="2"/>
      </rPr>
      <t>)</t>
    </r>
  </si>
  <si>
    <r>
      <t>AATVO (m</t>
    </r>
    <r>
      <rPr>
        <sz val="10"/>
        <rFont val="Calibri"/>
        <family val="2"/>
      </rPr>
      <t>²</t>
    </r>
    <r>
      <rPr>
        <sz val="8.5"/>
        <rFont val="Arial"/>
        <family val="2"/>
      </rPr>
      <t>)</t>
    </r>
  </si>
  <si>
    <r>
      <t>ATFN (m</t>
    </r>
    <r>
      <rPr>
        <sz val="10"/>
        <rFont val="Calibri"/>
        <family val="2"/>
      </rPr>
      <t>²</t>
    </r>
    <r>
      <rPr>
        <sz val="8.5"/>
        <rFont val="Arial"/>
        <family val="2"/>
      </rPr>
      <t>)</t>
    </r>
  </si>
  <si>
    <r>
      <t>ATFS (m</t>
    </r>
    <r>
      <rPr>
        <sz val="10"/>
        <rFont val="Calibri"/>
        <family val="2"/>
      </rPr>
      <t>²</t>
    </r>
    <r>
      <rPr>
        <sz val="8.5"/>
        <rFont val="Arial"/>
        <family val="2"/>
      </rPr>
      <t>)</t>
    </r>
  </si>
  <si>
    <r>
      <t>ATFL (m</t>
    </r>
    <r>
      <rPr>
        <sz val="10"/>
        <rFont val="Calibri"/>
        <family val="2"/>
      </rPr>
      <t>²</t>
    </r>
    <r>
      <rPr>
        <sz val="8.5"/>
        <rFont val="Arial"/>
        <family val="2"/>
      </rPr>
      <t>)</t>
    </r>
  </si>
  <si>
    <r>
      <t>ATFNO (m</t>
    </r>
    <r>
      <rPr>
        <sz val="10"/>
        <rFont val="Calibri"/>
        <family val="2"/>
      </rPr>
      <t>²</t>
    </r>
    <r>
      <rPr>
        <sz val="8.5"/>
        <rFont val="Arial"/>
        <family val="2"/>
      </rPr>
      <t>)</t>
    </r>
  </si>
  <si>
    <r>
      <t>ATAVN (m</t>
    </r>
    <r>
      <rPr>
        <sz val="10"/>
        <rFont val="Calibri"/>
        <family val="2"/>
      </rPr>
      <t>²</t>
    </r>
    <r>
      <rPr>
        <sz val="8.5"/>
        <rFont val="Arial"/>
        <family val="2"/>
      </rPr>
      <t>)</t>
    </r>
  </si>
  <si>
    <t>Porosidade Norte</t>
  </si>
  <si>
    <t>Porosidade Sul</t>
  </si>
  <si>
    <t>Porosidade Leste</t>
  </si>
  <si>
    <t>Porosidade Oeste</t>
  </si>
  <si>
    <t>Porosidade a Atender</t>
  </si>
  <si>
    <t>Atende pelo menos 2 fachadas?</t>
  </si>
  <si>
    <t>Bonificação</t>
  </si>
  <si>
    <t>Dispositivos Especiais</t>
  </si>
  <si>
    <t>Pavimento da UH</t>
  </si>
  <si>
    <t>Todos os APP apresentam dispositivos especiais?</t>
  </si>
  <si>
    <t>Centro Geométrico</t>
  </si>
  <si>
    <t>Todos os APP apresentam abertura com centro geométrico entre 0,40 e 0,70m?</t>
  </si>
  <si>
    <t xml:space="preserve">                                                        Bonificações</t>
  </si>
  <si>
    <t xml:space="preserve">Permeabilidade </t>
  </si>
  <si>
    <r>
      <t xml:space="preserve">Todos APP apresentam abertura intermediária com área livre </t>
    </r>
    <r>
      <rPr>
        <sz val="10"/>
        <rFont val="Calibri"/>
        <family val="2"/>
      </rPr>
      <t>≥</t>
    </r>
    <r>
      <rPr>
        <sz val="10"/>
        <rFont val="Arial"/>
        <family val="2"/>
      </rPr>
      <t xml:space="preserve"> 30% da área da abertura?</t>
    </r>
  </si>
  <si>
    <t>Profundidade</t>
  </si>
  <si>
    <t>Refletância Teto</t>
  </si>
  <si>
    <t>Todos os APPs, cozinha e lavanderia apresentam refletância do teto maior que 0,6?</t>
  </si>
  <si>
    <t>Envoltória para Verão</t>
  </si>
  <si>
    <t>Envoltória para Inverno</t>
  </si>
  <si>
    <t>Aquecimento de Água</t>
  </si>
  <si>
    <t>Equivalente numérico da envoltória</t>
  </si>
  <si>
    <t>Envoltória se refrigerada artificialmente</t>
  </si>
  <si>
    <t>Bonificações</t>
  </si>
  <si>
    <t>Pontuação Total</t>
  </si>
  <si>
    <t>Classificação final da UH</t>
  </si>
  <si>
    <t>Envoltória se Refrigerada Artificialmente</t>
  </si>
  <si>
    <t>Pontuação após avaliar os pré-requisitos por ambiente</t>
  </si>
  <si>
    <t>Ponderação da nota pela área útil do ambiente</t>
  </si>
  <si>
    <t>Pontuação após avaliar os pré-requisitos gerais da UH</t>
  </si>
  <si>
    <t>Nota anterior aos pré-requisitos</t>
  </si>
  <si>
    <t>Nota posterior ao pré-requisito de ventilação cruzada</t>
  </si>
  <si>
    <t>Equivalente numérico da envoltória da UH</t>
  </si>
  <si>
    <t>Nota final da envoltória da UH</t>
  </si>
  <si>
    <t>Total de bonificações</t>
  </si>
  <si>
    <t>Bombas de Calor</t>
  </si>
  <si>
    <t>Insira o COP do Equipmento (W/W)</t>
  </si>
  <si>
    <t>Classificação</t>
  </si>
  <si>
    <t>Sistema de Aquecimento Elétrico</t>
  </si>
  <si>
    <t>Insira a Potencia Máxima do Equipamento (W)</t>
  </si>
  <si>
    <t>Aquecedor elétrico de Hidromassagem</t>
  </si>
  <si>
    <t>Escolha uma opção ao lado:</t>
  </si>
  <si>
    <t>O sistema apresenta aquecimento solar?</t>
  </si>
  <si>
    <t>As tubulações para água quente são metálicas?</t>
  </si>
  <si>
    <t>A condutividade térmica da tubulação está entre 0,032 e 0,040 W/(mK)?</t>
  </si>
  <si>
    <t>Espessura do isolamento (cm)</t>
  </si>
  <si>
    <t>Diâmetro nominal da tubulação (cm)</t>
  </si>
  <si>
    <t>Condutividade do material alternativo à temperatura média indicada para a temperatura da água (W/mK)</t>
  </si>
  <si>
    <t>A edificação apresenta sistema de aquecimento de água?</t>
  </si>
  <si>
    <t>A edificação pertence a região Norte ou Nordeste?</t>
  </si>
  <si>
    <t>Sistema de aquecimento Solar</t>
  </si>
  <si>
    <t>Os coletores solares possuem ENCE A ou B ou Selo Procel e os reservatórios apresentam Selo Procel?</t>
  </si>
  <si>
    <t>Nota 1</t>
  </si>
  <si>
    <t>Nota 2</t>
  </si>
  <si>
    <t>Sistema de aquecimento a Gás</t>
  </si>
  <si>
    <t>Pré-requisito: os aquecedores a gás do tipo instantâneo e de acumulação possuem ENCE A ou B?</t>
  </si>
  <si>
    <t>Nota final para o aquecimento de água</t>
  </si>
  <si>
    <t>Pré-requisitos do sistema de aquecimento de água</t>
  </si>
  <si>
    <t>Região</t>
  </si>
  <si>
    <t>Coeficiente a</t>
  </si>
  <si>
    <t>Quais dispositivos?</t>
  </si>
  <si>
    <t>1 ou 2</t>
  </si>
  <si>
    <t>4 ou 5</t>
  </si>
  <si>
    <t>6, 7 ou 8</t>
  </si>
  <si>
    <t>9 ou mais</t>
  </si>
  <si>
    <t>Boiler A ou B segundo o PBE</t>
  </si>
  <si>
    <t>Boiler C, D ou E segundo o PBE</t>
  </si>
  <si>
    <t>Pré-requisitos por ambiente</t>
  </si>
  <si>
    <t>RTQ - Edificações Residenciais</t>
  </si>
  <si>
    <t>Análise dos Pré-requisitos da Envoltória e Equivalente Numérico da Envoltória</t>
  </si>
  <si>
    <t>Análise das Bonificações</t>
  </si>
  <si>
    <t>Análise do aquecimento de Água</t>
  </si>
  <si>
    <t>Análise da classificação final da UH</t>
  </si>
  <si>
    <t>Sistemas de aquecimento solar com backup por resistência elétrica. Equivalente à fração solar anual.</t>
  </si>
  <si>
    <t>O ambiente é um dormitório?</t>
  </si>
  <si>
    <t>Bonificação de uso racional de água</t>
  </si>
  <si>
    <t>Porcentagem das fontes de iluminação artificial com eficiência superior a 75 lm/W ou com Selo Procel (em todos os ambientes)</t>
  </si>
  <si>
    <t>Menos que 50%</t>
  </si>
  <si>
    <t>De 50% a 99%</t>
  </si>
  <si>
    <t>Iluminação Artificial</t>
  </si>
  <si>
    <t>Ventiladores de teto com Selo Procel em 2/3 dos ambientes de permanência prolongada?</t>
  </si>
  <si>
    <t>Refrigeradores</t>
  </si>
  <si>
    <t>Apresenta refrigerador(es) com ENCE nível A ou Selo Procel?</t>
  </si>
  <si>
    <t>Uso Racional de Água</t>
  </si>
  <si>
    <t>Condicionamento Artificial de Ar</t>
  </si>
  <si>
    <t>Bonificação Ventilação Natural</t>
  </si>
  <si>
    <t>Bonificação Iluminação Natural</t>
  </si>
  <si>
    <t>Outras Bonificações</t>
  </si>
  <si>
    <t>Ventiladores de Teto</t>
  </si>
  <si>
    <t>Bonificação de condicionamento artificial de ar</t>
  </si>
  <si>
    <t>Medição Individualizada de Aquecimento de Água</t>
  </si>
  <si>
    <t>As tubulações para água quente são apropriadas para a função de condução a que se destinam e atendem às normas técnicas de produtos aplicáveis?</t>
  </si>
  <si>
    <t>Demanda</t>
  </si>
  <si>
    <t>Caldeiras a óleo</t>
  </si>
  <si>
    <t>Apresenta Caldeira a óleo?</t>
  </si>
  <si>
    <t>A estrutura do reservatório apresenta resistência térmica maior ou igual a 2,20 (m²K)/W ?</t>
  </si>
  <si>
    <t>Qual é a área de coletores solares existente? (m²)</t>
  </si>
  <si>
    <t>Qual é o volume de armazenamento real do reservatório (litros)?</t>
  </si>
  <si>
    <t>de 70% ou mais</t>
  </si>
  <si>
    <t>entre 60 e 69%</t>
  </si>
  <si>
    <t>entre 50 e 59%</t>
  </si>
  <si>
    <t>menor que 50%</t>
  </si>
  <si>
    <t>Volume de reservatório por área de coletor (litros/m²)</t>
  </si>
  <si>
    <t>A maior classificação que a UH pode atingir em aquecimento de água é:</t>
  </si>
  <si>
    <t>Aquecedores elétricos de passagem, chuveiros elétricos e torneiras elétricas</t>
  </si>
  <si>
    <t>Aquecedores elétricos por acumulação (Boiler)</t>
  </si>
  <si>
    <t>Garante as condições adequadas de instalação conforme recomendações do fabricante?</t>
  </si>
  <si>
    <t>DETALHE IMPORTANTE: após os cálculos não modificar a zona bioclimática da célula E10</t>
  </si>
  <si>
    <t>Análise dos Pesos das Variáveis sobre a Pontuação Final da Envoltória</t>
  </si>
  <si>
    <t>Há corredor no Ambiente?</t>
  </si>
  <si>
    <t>Se sim, qual é a AUamb sem contar a área deste corredor?</t>
  </si>
  <si>
    <t>Sim</t>
  </si>
  <si>
    <t>Não</t>
  </si>
  <si>
    <t>Fatores para iluminação e ventilação natural</t>
  </si>
  <si>
    <t>AbN</t>
  </si>
  <si>
    <t>AbS</t>
  </si>
  <si>
    <t>AbL</t>
  </si>
  <si>
    <t>AbO</t>
  </si>
  <si>
    <t>AAbN</t>
  </si>
  <si>
    <t>AAbS</t>
  </si>
  <si>
    <t>AAbL</t>
  </si>
  <si>
    <t>AAbO</t>
  </si>
  <si>
    <t>APambN</t>
  </si>
  <si>
    <t>APambS</t>
  </si>
  <si>
    <t>APambL</t>
  </si>
  <si>
    <t>APambO</t>
  </si>
  <si>
    <t>PambN</t>
  </si>
  <si>
    <t>PambS</t>
  </si>
  <si>
    <t>PambL</t>
  </si>
  <si>
    <t>PambO</t>
  </si>
  <si>
    <t>αcob</t>
  </si>
  <si>
    <t>Porcentagens</t>
  </si>
  <si>
    <t>Graus-hora para Resfriamento (GHR)</t>
  </si>
  <si>
    <t>Consumo para Aquecimento (CA)</t>
  </si>
  <si>
    <t>Positiva</t>
  </si>
  <si>
    <t>Negativa</t>
  </si>
  <si>
    <t>Porcentagens ZB1</t>
  </si>
  <si>
    <t>Porcentagens ZB2</t>
  </si>
  <si>
    <t>Porcentagens ZB3</t>
  </si>
  <si>
    <t>Porcentagens ZB4</t>
  </si>
  <si>
    <t>Porcentagens ZB6</t>
  </si>
  <si>
    <t>Porcentagens ZB7</t>
  </si>
  <si>
    <t>Porcentagens ZB5 e ZB8</t>
  </si>
  <si>
    <t xml:space="preserve">                                     RTQ - Edificações Residenciais</t>
  </si>
  <si>
    <t>Variáveis</t>
  </si>
  <si>
    <t>50%+1 dos APP, cozinha e lavanderia atendem P ≤ 2,4 . hₐ?</t>
  </si>
  <si>
    <t>Recomendada</t>
  </si>
  <si>
    <t>Avaliada</t>
  </si>
  <si>
    <t>Valor sem variar</t>
  </si>
  <si>
    <t>-</t>
  </si>
  <si>
    <t>sem variar</t>
  </si>
  <si>
    <t xml:space="preserve">                  Variação (±)</t>
  </si>
  <si>
    <t>ZDD</t>
  </si>
  <si>
    <t xml:space="preserve">                      Graus-hora para Resfriamento (GHR)</t>
  </si>
  <si>
    <t xml:space="preserve">                        Consumo para Aquecimento (CA)</t>
  </si>
  <si>
    <t>Apresenta medição individualizada de água quente?</t>
  </si>
  <si>
    <t>Potência do sistema de aquecimento e  volume de armazenamento dentro da variação de + ou - 20%?</t>
  </si>
  <si>
    <t>Célula explicativa</t>
  </si>
  <si>
    <t>Variação aumentando a variável</t>
  </si>
  <si>
    <t xml:space="preserve">  Variação diminuindo a variável</t>
  </si>
  <si>
    <t>NV - RESFRIAMENTO</t>
  </si>
  <si>
    <t>Área útil do APP</t>
  </si>
  <si>
    <t>Análise da Envoltória e dos Pré-Requisitos dos Ambientes RTQ - Edificações Residenciais</t>
  </si>
  <si>
    <t>NORTE</t>
  </si>
  <si>
    <t>SUL</t>
  </si>
  <si>
    <t>LESTE</t>
  </si>
  <si>
    <t>OESTE</t>
  </si>
  <si>
    <t>TERMO DE RESPONSABILIDADE (passe o mouse)</t>
  </si>
  <si>
    <t>Área das Paredes Internas</t>
  </si>
  <si>
    <t>Pé Direito</t>
  </si>
  <si>
    <r>
      <rPr>
        <b/>
        <i/>
        <sz val="10"/>
        <rFont val="Arial"/>
        <family val="2"/>
      </rPr>
      <t>C</t>
    </r>
    <r>
      <rPr>
        <b/>
        <sz val="10"/>
        <rFont val="Arial"/>
        <family val="2"/>
      </rPr>
      <t xml:space="preserve"> altura</t>
    </r>
  </si>
  <si>
    <t>Área de abertura para iluminação [m²]</t>
  </si>
  <si>
    <t>A PONTUAÇÃO ACIMA NÃO É A NOTA FINAL DA ENVOLTÓRIA. AINDA É NECESSÁRIO PREENCHER ALGUNS PRÉ-REQUISITOS NA ABA "Pré-requisitos da UH"</t>
  </si>
  <si>
    <t>Nº BWC</t>
  </si>
  <si>
    <t>Sul</t>
  </si>
  <si>
    <t>Contato com solo</t>
  </si>
  <si>
    <t>Sobre Pilotis</t>
  </si>
  <si>
    <t>Não se aplica</t>
  </si>
  <si>
    <t>CT paredes externas</t>
  </si>
  <si>
    <t>Upar, CTpar e αpar atendem?</t>
  </si>
  <si>
    <t>Pontuação após avaliar todos os pré-requisitos</t>
  </si>
  <si>
    <t>Nota anterior aos pré-requisitos gerais e ao pré-requisito dos banheiros com venitlação natural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</si>
</sst>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9"/>
      <color rgb="FF000000"/>
      <name val="Arial"/>
      <family val="2"/>
    </font>
    <font>
      <b/>
      <sz val="16"/>
      <name val="Arial"/>
      <family val="2"/>
    </font>
    <font>
      <b/>
      <sz val="14"/>
      <name val="Arial"/>
      <family val="2"/>
    </font>
    <font>
      <b/>
      <sz val="10"/>
      <color rgb="FFFF0000"/>
      <name val="Arial"/>
      <family val="2"/>
    </font>
    <font>
      <sz val="9"/>
      <color indexed="81"/>
      <name val="Tahoma"/>
      <family val="2"/>
    </font>
    <font>
      <b/>
      <sz val="9"/>
      <color indexed="81"/>
      <name val="Tahoma"/>
      <family val="2"/>
    </font>
    <font>
      <b/>
      <sz val="11"/>
      <color indexed="81"/>
      <name val="Tahoma"/>
      <family val="2"/>
    </font>
    <font>
      <b/>
      <sz val="12"/>
      <color indexed="81"/>
      <name val="Tahoma"/>
      <family val="2"/>
    </font>
    <font>
      <b/>
      <sz val="11"/>
      <color indexed="81"/>
      <name val="Calibri"/>
      <family val="2"/>
    </font>
    <font>
      <i/>
      <sz val="11"/>
      <color indexed="81"/>
      <name val="Tahoma"/>
      <family val="2"/>
    </font>
    <font>
      <b/>
      <sz val="10"/>
      <color rgb="FF000000"/>
      <name val="Arial"/>
      <family val="2"/>
    </font>
    <font>
      <b/>
      <sz val="10"/>
      <name val="Calibri"/>
      <family val="2"/>
    </font>
    <font>
      <b/>
      <sz val="9"/>
      <name val="Arial"/>
      <family val="2"/>
    </font>
    <font>
      <sz val="10"/>
      <color theme="0"/>
      <name val="Arial"/>
      <family val="2"/>
    </font>
    <font>
      <sz val="10"/>
      <color rgb="FF000000"/>
      <name val="Arial"/>
      <family val="2"/>
    </font>
    <font>
      <sz val="10"/>
      <name val="Arial"/>
      <family val="2"/>
    </font>
    <font>
      <sz val="10"/>
      <name val="Calibri"/>
      <family val="2"/>
    </font>
    <font>
      <sz val="8.5"/>
      <name val="Arial"/>
      <family val="2"/>
    </font>
    <font>
      <b/>
      <i/>
      <sz val="11"/>
      <color indexed="81"/>
      <name val="Tahoma"/>
      <family val="2"/>
    </font>
    <font>
      <sz val="28"/>
      <name val="Arial"/>
      <family val="2"/>
    </font>
    <font>
      <b/>
      <sz val="10"/>
      <color theme="1"/>
      <name val="Arial"/>
      <family val="2"/>
    </font>
    <font>
      <sz val="10"/>
      <color theme="1"/>
      <name val="Arial"/>
      <family val="2"/>
    </font>
    <font>
      <b/>
      <sz val="11"/>
      <color indexed="81"/>
      <name val="Arial"/>
      <family val="2"/>
    </font>
    <font>
      <b/>
      <sz val="20"/>
      <name val="Arial"/>
      <family val="2"/>
    </font>
    <font>
      <sz val="20"/>
      <name val="Arial"/>
      <family val="2"/>
    </font>
    <font>
      <b/>
      <sz val="15"/>
      <name val="Arial"/>
      <family val="2"/>
    </font>
    <font>
      <sz val="15"/>
      <name val="Arial"/>
      <family val="2"/>
    </font>
    <font>
      <sz val="14"/>
      <name val="Arial"/>
      <family val="2"/>
    </font>
    <font>
      <sz val="10"/>
      <color indexed="81"/>
      <name val="Tahoma"/>
      <family val="2"/>
    </font>
    <font>
      <sz val="11"/>
      <color indexed="81"/>
      <name val="Tahoma"/>
      <family val="2"/>
    </font>
    <font>
      <b/>
      <sz val="8"/>
      <name val="Arial"/>
      <family val="2"/>
    </font>
    <font>
      <sz val="12"/>
      <color indexed="81"/>
      <name val="Tahoma"/>
      <family val="2"/>
    </font>
    <font>
      <b/>
      <i/>
      <sz val="10"/>
      <name val="Arial"/>
      <family val="2"/>
    </font>
    <font>
      <b/>
      <sz val="10"/>
      <color indexed="81"/>
      <name val="Tahoma"/>
      <family val="2"/>
    </font>
    <font>
      <sz val="8"/>
      <name val="Arial"/>
      <family val="2"/>
    </font>
  </fonts>
  <fills count="23">
    <fill>
      <patternFill patternType="none"/>
    </fill>
    <fill>
      <patternFill patternType="gray125"/>
    </fill>
    <fill>
      <patternFill patternType="solid">
        <fgColor theme="0" tint="-0.149998474074526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FFC0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theme="9" tint="-0.249977111117893"/>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9" tint="-0.24994659260841701"/>
        <bgColor indexed="64"/>
      </patternFill>
    </fill>
    <fill>
      <patternFill patternType="solid">
        <fgColor theme="6" tint="0.39994506668294322"/>
        <bgColor indexed="64"/>
      </patternFill>
    </fill>
  </fills>
  <borders count="66">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style="medium">
        <color indexed="64"/>
      </left>
      <right style="thin">
        <color theme="0"/>
      </right>
      <top style="thin">
        <color theme="0"/>
      </top>
      <bottom style="thin">
        <color theme="0"/>
      </bottom>
      <diagonal/>
    </border>
    <border>
      <left style="thick">
        <color indexed="64"/>
      </left>
      <right style="thick">
        <color indexed="64"/>
      </right>
      <top style="thick">
        <color indexed="64"/>
      </top>
      <bottom style="thick">
        <color indexed="64"/>
      </bottom>
      <diagonal/>
    </border>
    <border>
      <left style="dashDot">
        <color indexed="64"/>
      </left>
      <right style="dashDot">
        <color indexed="64"/>
      </right>
      <top style="medium">
        <color indexed="64"/>
      </top>
      <bottom/>
      <diagonal/>
    </border>
    <border>
      <left style="dashDot">
        <color indexed="64"/>
      </left>
      <right style="dashDot">
        <color indexed="64"/>
      </right>
      <top/>
      <bottom/>
      <diagonal/>
    </border>
    <border>
      <left style="dashDot">
        <color indexed="64"/>
      </left>
      <right style="dashDot">
        <color indexed="64"/>
      </right>
      <top/>
      <bottom style="dashDot">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indexed="64"/>
      </left>
      <right style="thin">
        <color indexed="64"/>
      </right>
      <top style="medium">
        <color indexed="64"/>
      </top>
      <bottom/>
      <diagonal/>
    </border>
    <border>
      <left style="thin">
        <color auto="1"/>
      </left>
      <right style="medium">
        <color auto="1"/>
      </right>
      <top style="medium">
        <color auto="1"/>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theme="0"/>
      </left>
      <right style="thin">
        <color theme="0"/>
      </right>
      <top/>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right style="thin">
        <color indexed="64"/>
      </right>
      <top style="medium">
        <color indexed="64"/>
      </top>
      <bottom style="medium">
        <color indexed="64"/>
      </bottom>
      <diagonal/>
    </border>
    <border>
      <left style="medium">
        <color auto="1"/>
      </left>
      <right/>
      <top style="thin">
        <color auto="1"/>
      </top>
      <bottom style="thin">
        <color auto="1"/>
      </bottom>
      <diagonal/>
    </border>
    <border>
      <left/>
      <right style="thin">
        <color indexed="64"/>
      </right>
      <top style="thin">
        <color auto="1"/>
      </top>
      <bottom style="medium">
        <color auto="1"/>
      </bottom>
      <diagonal/>
    </border>
    <border>
      <left style="thin">
        <color indexed="64"/>
      </left>
      <right style="thin">
        <color indexed="64"/>
      </right>
      <top/>
      <bottom/>
      <diagonal/>
    </border>
    <border>
      <left style="mediumDashDotDot">
        <color indexed="64"/>
      </left>
      <right/>
      <top style="mediumDashDotDot">
        <color indexed="64"/>
      </top>
      <bottom style="mediumDashDotDot">
        <color indexed="64"/>
      </bottom>
      <diagonal/>
    </border>
  </borders>
  <cellStyleXfs count="15">
    <xf numFmtId="0" fontId="0" fillId="0" borderId="0"/>
    <xf numFmtId="0" fontId="4"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2" fillId="0" borderId="0"/>
    <xf numFmtId="0" fontId="21" fillId="0" borderId="0" applyNumberFormat="0" applyFont="0" applyFill="0" applyBorder="0" applyAlignment="0" applyProtection="0"/>
    <xf numFmtId="0" fontId="21" fillId="0" borderId="0" applyNumberFormat="0" applyFont="0" applyFill="0" applyBorder="0" applyAlignment="0" applyProtection="0"/>
    <xf numFmtId="0" fontId="1" fillId="0" borderId="0"/>
    <xf numFmtId="0" fontId="4" fillId="0" borderId="0"/>
  </cellStyleXfs>
  <cellXfs count="433">
    <xf numFmtId="0" fontId="0" fillId="0" borderId="0" xfId="0"/>
    <xf numFmtId="0" fontId="0" fillId="0" borderId="0" xfId="0" applyProtection="1"/>
    <xf numFmtId="0" fontId="6" fillId="0" borderId="7" xfId="10" applyFont="1" applyFill="1" applyBorder="1" applyAlignment="1" applyProtection="1">
      <alignment horizontal="center" vertical="center"/>
    </xf>
    <xf numFmtId="0" fontId="6" fillId="0" borderId="8" xfId="10" applyFont="1" applyFill="1" applyBorder="1" applyAlignment="1" applyProtection="1">
      <alignment horizontal="center" vertical="center"/>
    </xf>
    <xf numFmtId="1" fontId="5" fillId="0" borderId="8" xfId="0" applyNumberFormat="1" applyFont="1" applyFill="1" applyBorder="1" applyAlignment="1" applyProtection="1">
      <alignment horizontal="center" vertical="center"/>
    </xf>
    <xf numFmtId="1" fontId="5" fillId="0" borderId="9" xfId="0" applyNumberFormat="1" applyFont="1" applyFill="1" applyBorder="1" applyAlignment="1" applyProtection="1">
      <alignment horizontal="center" vertical="center"/>
    </xf>
    <xf numFmtId="1" fontId="5" fillId="0" borderId="0" xfId="0" applyNumberFormat="1" applyFont="1" applyFill="1" applyBorder="1" applyAlignment="1" applyProtection="1">
      <alignment horizontal="center" vertical="center"/>
    </xf>
    <xf numFmtId="0" fontId="0" fillId="0" borderId="11" xfId="0" applyBorder="1"/>
    <xf numFmtId="0" fontId="0" fillId="9" borderId="11" xfId="0" applyFill="1" applyBorder="1"/>
    <xf numFmtId="0" fontId="0" fillId="8" borderId="11" xfId="0" applyFill="1" applyBorder="1"/>
    <xf numFmtId="0" fontId="0" fillId="7" borderId="11" xfId="0" applyFill="1" applyBorder="1"/>
    <xf numFmtId="0" fontId="0" fillId="10" borderId="11" xfId="0" applyFill="1" applyBorder="1"/>
    <xf numFmtId="0" fontId="0" fillId="6" borderId="13" xfId="0" applyFill="1" applyBorder="1"/>
    <xf numFmtId="0" fontId="0" fillId="13" borderId="1" xfId="0" applyFill="1" applyBorder="1" applyProtection="1"/>
    <xf numFmtId="0" fontId="0" fillId="0" borderId="11" xfId="0" applyBorder="1" applyProtection="1"/>
    <xf numFmtId="0" fontId="0" fillId="9" borderId="11" xfId="0" applyFill="1" applyBorder="1" applyProtection="1"/>
    <xf numFmtId="1" fontId="0" fillId="9" borderId="0" xfId="0" applyNumberFormat="1" applyFill="1" applyBorder="1" applyProtection="1"/>
    <xf numFmtId="1" fontId="0" fillId="9" borderId="12" xfId="0" applyNumberFormat="1" applyFill="1" applyBorder="1" applyProtection="1"/>
    <xf numFmtId="0" fontId="0" fillId="8" borderId="11" xfId="0" applyFill="1" applyBorder="1" applyProtection="1"/>
    <xf numFmtId="1" fontId="0" fillId="8" borderId="0" xfId="0" applyNumberFormat="1" applyFill="1" applyBorder="1" applyProtection="1"/>
    <xf numFmtId="1" fontId="0" fillId="8" borderId="12" xfId="0" applyNumberFormat="1" applyFill="1" applyBorder="1" applyProtection="1"/>
    <xf numFmtId="0" fontId="0" fillId="7" borderId="11" xfId="0" applyFill="1" applyBorder="1" applyProtection="1"/>
    <xf numFmtId="1" fontId="0" fillId="7" borderId="0" xfId="0" applyNumberFormat="1" applyFill="1" applyBorder="1" applyProtection="1"/>
    <xf numFmtId="1" fontId="0" fillId="7" borderId="12" xfId="0" applyNumberFormat="1" applyFill="1" applyBorder="1" applyProtection="1"/>
    <xf numFmtId="0" fontId="0" fillId="10" borderId="11" xfId="0" applyFill="1" applyBorder="1" applyProtection="1"/>
    <xf numFmtId="1" fontId="0" fillId="10" borderId="0" xfId="0" applyNumberFormat="1" applyFill="1" applyBorder="1" applyProtection="1"/>
    <xf numFmtId="1" fontId="0" fillId="10" borderId="12" xfId="0" applyNumberFormat="1" applyFill="1" applyBorder="1" applyProtection="1"/>
    <xf numFmtId="0" fontId="0" fillId="6" borderId="13" xfId="0" applyFill="1" applyBorder="1" applyProtection="1"/>
    <xf numFmtId="1" fontId="0" fillId="6" borderId="10" xfId="0" applyNumberFormat="1" applyFill="1" applyBorder="1" applyProtection="1"/>
    <xf numFmtId="1" fontId="0" fillId="6" borderId="14" xfId="0" applyNumberFormat="1" applyFill="1" applyBorder="1" applyProtection="1"/>
    <xf numFmtId="0" fontId="0" fillId="11" borderId="1" xfId="0" applyFill="1" applyBorder="1" applyProtection="1"/>
    <xf numFmtId="0" fontId="0" fillId="12" borderId="1" xfId="0" applyFill="1" applyBorder="1" applyProtection="1"/>
    <xf numFmtId="164" fontId="0" fillId="9" borderId="0" xfId="0" applyNumberFormat="1" applyFill="1" applyBorder="1" applyProtection="1"/>
    <xf numFmtId="164" fontId="0" fillId="8" borderId="0" xfId="0" applyNumberFormat="1" applyFill="1" applyBorder="1" applyProtection="1"/>
    <xf numFmtId="164" fontId="0" fillId="7" borderId="0" xfId="0" applyNumberFormat="1" applyFill="1" applyBorder="1" applyProtection="1"/>
    <xf numFmtId="164" fontId="0" fillId="10" borderId="0" xfId="0" applyNumberFormat="1" applyFill="1" applyBorder="1" applyProtection="1"/>
    <xf numFmtId="164" fontId="5" fillId="0" borderId="0" xfId="0" applyNumberFormat="1" applyFont="1" applyFill="1" applyBorder="1" applyAlignment="1" applyProtection="1">
      <alignment horizontal="center" vertical="center"/>
    </xf>
    <xf numFmtId="164" fontId="0" fillId="0" borderId="0" xfId="0" applyNumberFormat="1" applyProtection="1"/>
    <xf numFmtId="164" fontId="0" fillId="9" borderId="12" xfId="0" applyNumberFormat="1" applyFill="1" applyBorder="1" applyProtection="1"/>
    <xf numFmtId="164" fontId="0" fillId="8" borderId="12" xfId="0" applyNumberFormat="1" applyFill="1" applyBorder="1" applyProtection="1"/>
    <xf numFmtId="164" fontId="0" fillId="7" borderId="12" xfId="0" applyNumberFormat="1" applyFill="1" applyBorder="1" applyProtection="1"/>
    <xf numFmtId="164" fontId="0" fillId="10" borderId="12" xfId="0" applyNumberFormat="1" applyFill="1" applyBorder="1" applyProtection="1"/>
    <xf numFmtId="164" fontId="0" fillId="6" borderId="10" xfId="0" applyNumberFormat="1" applyFill="1" applyBorder="1" applyProtection="1"/>
    <xf numFmtId="164" fontId="0" fillId="6" borderId="14" xfId="0" applyNumberFormat="1" applyFill="1" applyBorder="1" applyProtection="1"/>
    <xf numFmtId="164" fontId="5" fillId="0" borderId="12" xfId="0" applyNumberFormat="1" applyFont="1" applyFill="1" applyBorder="1" applyAlignment="1" applyProtection="1">
      <alignment horizontal="center" vertical="center"/>
    </xf>
    <xf numFmtId="164" fontId="0" fillId="0" borderId="0" xfId="0" applyNumberFormat="1"/>
    <xf numFmtId="164" fontId="0" fillId="0" borderId="12" xfId="0" applyNumberFormat="1" applyBorder="1" applyProtection="1">
      <protection locked="0"/>
    </xf>
    <xf numFmtId="164" fontId="0" fillId="9" borderId="0" xfId="0" applyNumberFormat="1" applyFill="1" applyBorder="1"/>
    <xf numFmtId="164" fontId="0" fillId="8" borderId="0" xfId="0" applyNumberFormat="1" applyFill="1" applyBorder="1"/>
    <xf numFmtId="164" fontId="0" fillId="7" borderId="0" xfId="0" applyNumberFormat="1" applyFill="1" applyBorder="1"/>
    <xf numFmtId="164" fontId="0" fillId="10" borderId="0" xfId="0" applyNumberFormat="1" applyFill="1" applyBorder="1"/>
    <xf numFmtId="164" fontId="0" fillId="6" borderId="10" xfId="0" applyNumberFormat="1" applyFill="1" applyBorder="1"/>
    <xf numFmtId="0" fontId="0" fillId="14" borderId="0" xfId="0" applyFill="1" applyAlignment="1" applyProtection="1">
      <alignment horizontal="center" vertical="center" wrapText="1"/>
    </xf>
    <xf numFmtId="0" fontId="4" fillId="14" borderId="0" xfId="0" applyFont="1" applyFill="1" applyAlignment="1" applyProtection="1">
      <alignment horizontal="center" vertical="center" wrapText="1"/>
    </xf>
    <xf numFmtId="0" fontId="4" fillId="14" borderId="0"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14" borderId="0" xfId="0" applyFont="1" applyFill="1" applyAlignment="1" applyProtection="1">
      <alignment horizontal="center" vertical="center" wrapText="1"/>
    </xf>
    <xf numFmtId="0" fontId="4" fillId="14" borderId="0" xfId="0" applyNumberFormat="1" applyFont="1" applyFill="1" applyBorder="1" applyAlignment="1" applyProtection="1">
      <alignment horizontal="center" vertical="center" wrapText="1"/>
    </xf>
    <xf numFmtId="2" fontId="4" fillId="14" borderId="0" xfId="0" applyNumberFormat="1" applyFont="1" applyFill="1" applyBorder="1" applyAlignment="1" applyProtection="1">
      <alignment horizontal="center" vertical="center" wrapText="1"/>
    </xf>
    <xf numFmtId="1" fontId="5" fillId="14" borderId="0" xfId="0" applyNumberFormat="1" applyFont="1" applyFill="1" applyBorder="1" applyAlignment="1" applyProtection="1">
      <alignment horizontal="center" vertical="center" wrapText="1"/>
    </xf>
    <xf numFmtId="0" fontId="5" fillId="14" borderId="0" xfId="0" applyFont="1" applyFill="1" applyBorder="1" applyAlignment="1" applyProtection="1">
      <alignment horizontal="center" vertical="center" wrapText="1"/>
    </xf>
    <xf numFmtId="164" fontId="5" fillId="14" borderId="0" xfId="0" applyNumberFormat="1" applyFont="1" applyFill="1" applyBorder="1" applyAlignment="1" applyProtection="1">
      <alignment horizontal="center" vertical="center" wrapText="1"/>
    </xf>
    <xf numFmtId="1" fontId="16" fillId="0" borderId="20" xfId="10" applyNumberFormat="1" applyFont="1" applyFill="1" applyBorder="1" applyAlignment="1" applyProtection="1">
      <alignment horizontal="center" vertical="center" wrapText="1"/>
    </xf>
    <xf numFmtId="1" fontId="9" fillId="14" borderId="0" xfId="0" applyNumberFormat="1" applyFont="1" applyFill="1" applyBorder="1" applyAlignment="1" applyProtection="1">
      <alignment horizontal="center" vertical="center" wrapText="1"/>
    </xf>
    <xf numFmtId="1" fontId="16" fillId="0" borderId="0" xfId="10" applyNumberFormat="1" applyFont="1" applyFill="1" applyBorder="1" applyAlignment="1" applyProtection="1">
      <alignment horizontal="center" vertical="center" wrapText="1"/>
    </xf>
    <xf numFmtId="1" fontId="5" fillId="0" borderId="0" xfId="0" applyNumberFormat="1" applyFont="1" applyFill="1" applyBorder="1" applyAlignment="1" applyProtection="1">
      <alignment horizontal="center" vertical="center" wrapText="1"/>
    </xf>
    <xf numFmtId="1" fontId="5" fillId="0" borderId="20" xfId="0" applyNumberFormat="1"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0" xfId="0" applyFont="1" applyFill="1" applyBorder="1" applyAlignment="1" applyProtection="1">
      <alignment horizontal="center" vertical="center" wrapText="1"/>
    </xf>
    <xf numFmtId="0" fontId="0" fillId="0" borderId="31" xfId="0" applyBorder="1" applyAlignment="1" applyProtection="1">
      <alignment horizontal="center" vertical="center" wrapText="1"/>
    </xf>
    <xf numFmtId="0" fontId="0" fillId="0" borderId="32" xfId="0" applyBorder="1" applyAlignment="1" applyProtection="1">
      <alignment horizontal="center" vertical="center" wrapText="1"/>
    </xf>
    <xf numFmtId="0" fontId="0" fillId="0" borderId="38" xfId="0" applyBorder="1" applyAlignment="1" applyProtection="1">
      <alignment horizontal="center" vertical="center" wrapText="1"/>
    </xf>
    <xf numFmtId="0" fontId="0" fillId="0" borderId="39" xfId="0" applyBorder="1" applyAlignment="1" applyProtection="1">
      <alignment horizontal="center" vertical="center" wrapText="1"/>
    </xf>
    <xf numFmtId="0" fontId="0" fillId="0" borderId="40" xfId="0" applyBorder="1" applyAlignment="1" applyProtection="1">
      <alignment horizontal="center" vertical="center" wrapText="1"/>
    </xf>
    <xf numFmtId="0" fontId="4" fillId="0" borderId="40" xfId="0" applyFont="1" applyFill="1" applyBorder="1" applyAlignment="1" applyProtection="1">
      <alignment horizontal="center" vertical="center" wrapText="1"/>
    </xf>
    <xf numFmtId="0" fontId="4" fillId="0" borderId="31" xfId="0" applyFont="1" applyFill="1" applyBorder="1" applyAlignment="1" applyProtection="1">
      <alignment horizontal="center" vertical="center" wrapText="1"/>
    </xf>
    <xf numFmtId="0" fontId="4" fillId="0" borderId="32" xfId="0" applyFont="1" applyBorder="1" applyAlignment="1" applyProtection="1">
      <alignment horizontal="center" vertical="center" wrapText="1"/>
    </xf>
    <xf numFmtId="0" fontId="4" fillId="17" borderId="23" xfId="0" applyFont="1" applyFill="1" applyBorder="1" applyAlignment="1" applyProtection="1">
      <alignment horizontal="center" vertical="center" wrapText="1"/>
    </xf>
    <xf numFmtId="0" fontId="4" fillId="17" borderId="24" xfId="0" applyFont="1" applyFill="1" applyBorder="1" applyAlignment="1" applyProtection="1">
      <alignment horizontal="center" vertical="center" wrapText="1"/>
    </xf>
    <xf numFmtId="0" fontId="4" fillId="17" borderId="29" xfId="0" applyFont="1" applyFill="1" applyBorder="1" applyAlignment="1" applyProtection="1">
      <alignment horizontal="center" vertical="center" wrapText="1"/>
    </xf>
    <xf numFmtId="0" fontId="4" fillId="17" borderId="25" xfId="0" applyFont="1" applyFill="1" applyBorder="1" applyAlignment="1" applyProtection="1">
      <alignment horizontal="center" vertical="center" wrapText="1"/>
    </xf>
    <xf numFmtId="0" fontId="5" fillId="17" borderId="8" xfId="0" applyFont="1" applyFill="1" applyBorder="1" applyAlignment="1" applyProtection="1">
      <alignment horizontal="center" vertical="center" wrapText="1"/>
    </xf>
    <xf numFmtId="0" fontId="5" fillId="17" borderId="5" xfId="0" applyFont="1" applyFill="1" applyBorder="1" applyAlignment="1" applyProtection="1">
      <alignment horizontal="center" vertical="center" wrapText="1"/>
    </xf>
    <xf numFmtId="2" fontId="4" fillId="17" borderId="25" xfId="0" applyNumberFormat="1" applyFont="1" applyFill="1" applyBorder="1" applyAlignment="1" applyProtection="1">
      <alignment horizontal="center" vertical="center" wrapText="1"/>
    </xf>
    <xf numFmtId="2" fontId="4" fillId="17" borderId="24" xfId="0" applyNumberFormat="1" applyFont="1" applyFill="1" applyBorder="1" applyAlignment="1" applyProtection="1">
      <alignment horizontal="center" vertical="center" wrapText="1"/>
    </xf>
    <xf numFmtId="2" fontId="4" fillId="17" borderId="23" xfId="0" applyNumberFormat="1" applyFont="1" applyFill="1" applyBorder="1" applyAlignment="1" applyProtection="1">
      <alignment horizontal="center" vertical="center" wrapText="1"/>
    </xf>
    <xf numFmtId="0" fontId="5" fillId="18" borderId="22" xfId="0" applyFont="1" applyFill="1" applyBorder="1" applyAlignment="1" applyProtection="1">
      <alignment horizontal="center" vertical="center" wrapText="1"/>
    </xf>
    <xf numFmtId="0" fontId="4" fillId="17" borderId="3" xfId="0" applyFont="1" applyFill="1" applyBorder="1" applyAlignment="1" applyProtection="1">
      <alignment horizontal="center" vertical="center" wrapText="1"/>
    </xf>
    <xf numFmtId="0" fontId="4" fillId="17" borderId="36" xfId="0" applyFont="1" applyFill="1" applyBorder="1" applyAlignment="1" applyProtection="1">
      <alignment horizontal="center" vertical="center" wrapText="1"/>
    </xf>
    <xf numFmtId="0" fontId="4" fillId="17" borderId="34" xfId="0" applyFont="1" applyFill="1" applyBorder="1" applyAlignment="1" applyProtection="1">
      <alignment horizontal="center" vertical="center" wrapText="1"/>
    </xf>
    <xf numFmtId="0" fontId="4" fillId="17" borderId="35" xfId="0" applyFont="1" applyFill="1" applyBorder="1" applyAlignment="1" applyProtection="1">
      <alignment horizontal="center" vertical="center" wrapText="1"/>
    </xf>
    <xf numFmtId="0" fontId="4" fillId="17" borderId="37" xfId="0" applyFont="1" applyFill="1" applyBorder="1" applyAlignment="1" applyProtection="1">
      <alignment horizontal="center" vertical="center" wrapText="1"/>
    </xf>
    <xf numFmtId="0" fontId="4" fillId="17" borderId="33" xfId="0" applyFont="1" applyFill="1" applyBorder="1" applyAlignment="1" applyProtection="1">
      <alignment horizontal="center" vertical="center" wrapText="1"/>
    </xf>
    <xf numFmtId="0" fontId="0" fillId="17" borderId="23" xfId="0" applyFill="1" applyBorder="1" applyAlignment="1" applyProtection="1">
      <alignment horizontal="center" vertical="center" wrapText="1"/>
    </xf>
    <xf numFmtId="0" fontId="4" fillId="17" borderId="30" xfId="0" applyFont="1" applyFill="1" applyBorder="1" applyAlignment="1" applyProtection="1">
      <alignment horizontal="center" vertical="center" wrapText="1"/>
    </xf>
    <xf numFmtId="165" fontId="4" fillId="17" borderId="34" xfId="0" applyNumberFormat="1" applyFont="1" applyFill="1" applyBorder="1" applyAlignment="1" applyProtection="1">
      <alignment horizontal="center" vertical="center" wrapText="1"/>
    </xf>
    <xf numFmtId="0" fontId="4" fillId="17" borderId="22" xfId="0" applyFont="1" applyFill="1" applyBorder="1" applyAlignment="1">
      <alignment horizontal="center" vertical="center" wrapText="1"/>
    </xf>
    <xf numFmtId="0" fontId="0" fillId="17" borderId="29" xfId="0" applyFill="1" applyBorder="1" applyAlignment="1" applyProtection="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0" fontId="0" fillId="17" borderId="22" xfId="0" applyFill="1" applyBorder="1" applyAlignment="1">
      <alignment horizontal="center" vertical="center" wrapText="1"/>
    </xf>
    <xf numFmtId="0" fontId="5" fillId="17" borderId="25" xfId="0" applyFont="1" applyFill="1" applyBorder="1" applyAlignment="1" applyProtection="1">
      <alignment horizontal="center" vertical="center" wrapText="1"/>
    </xf>
    <xf numFmtId="2" fontId="5" fillId="17" borderId="24" xfId="0" applyNumberFormat="1" applyFont="1" applyFill="1" applyBorder="1" applyAlignment="1" applyProtection="1">
      <alignment horizontal="center" vertical="center" wrapText="1"/>
    </xf>
    <xf numFmtId="2" fontId="5" fillId="17" borderId="23" xfId="0" applyNumberFormat="1" applyFont="1" applyFill="1" applyBorder="1" applyAlignment="1" applyProtection="1">
      <alignment horizontal="center" vertical="center" wrapText="1"/>
    </xf>
    <xf numFmtId="2" fontId="5" fillId="17" borderId="25" xfId="0" applyNumberFormat="1" applyFont="1" applyFill="1" applyBorder="1" applyAlignment="1" applyProtection="1">
      <alignment horizontal="center" vertical="center" wrapText="1"/>
    </xf>
    <xf numFmtId="0" fontId="8" fillId="0" borderId="0" xfId="0" applyFont="1" applyAlignment="1" applyProtection="1">
      <alignment vertical="center" wrapText="1"/>
    </xf>
    <xf numFmtId="0" fontId="8" fillId="0" borderId="0" xfId="0" applyFont="1" applyAlignment="1" applyProtection="1">
      <alignment vertical="center"/>
    </xf>
    <xf numFmtId="2" fontId="4" fillId="0" borderId="24" xfId="0" applyNumberFormat="1" applyFont="1" applyBorder="1" applyAlignment="1" applyProtection="1">
      <alignment horizontal="center"/>
      <protection locked="0"/>
    </xf>
    <xf numFmtId="2" fontId="4" fillId="0" borderId="23" xfId="0" applyNumberFormat="1" applyFont="1" applyBorder="1" applyAlignment="1" applyProtection="1">
      <alignment horizontal="center"/>
      <protection locked="0"/>
    </xf>
    <xf numFmtId="2" fontId="4" fillId="0" borderId="25" xfId="0" applyNumberFormat="1" applyFont="1" applyBorder="1" applyAlignment="1" applyProtection="1">
      <alignment horizontal="center"/>
      <protection locked="0"/>
    </xf>
    <xf numFmtId="0" fontId="4" fillId="0" borderId="25" xfId="0" applyNumberFormat="1" applyFont="1" applyBorder="1" applyAlignment="1" applyProtection="1">
      <alignment horizontal="center"/>
      <protection locked="0"/>
    </xf>
    <xf numFmtId="0" fontId="4" fillId="0" borderId="23" xfId="0" applyNumberFormat="1" applyFont="1" applyBorder="1" applyAlignment="1" applyProtection="1">
      <alignment horizontal="center"/>
      <protection locked="0"/>
    </xf>
    <xf numFmtId="0" fontId="4" fillId="0" borderId="24" xfId="0" applyNumberFormat="1" applyFont="1" applyBorder="1" applyAlignment="1" applyProtection="1">
      <alignment horizontal="center"/>
      <protection locked="0"/>
    </xf>
    <xf numFmtId="2" fontId="4" fillId="0" borderId="26" xfId="0" applyNumberFormat="1" applyFont="1" applyBorder="1" applyAlignment="1" applyProtection="1">
      <alignment horizontal="center"/>
      <protection locked="0"/>
    </xf>
    <xf numFmtId="0" fontId="4" fillId="2" borderId="24" xfId="0" applyFont="1" applyFill="1" applyBorder="1" applyAlignment="1" applyProtection="1">
      <alignment horizontal="center" vertical="center" wrapText="1"/>
    </xf>
    <xf numFmtId="0" fontId="4" fillId="2" borderId="30" xfId="0" applyFont="1" applyFill="1" applyBorder="1" applyAlignment="1" applyProtection="1">
      <alignment horizontal="center" vertical="center" wrapText="1"/>
    </xf>
    <xf numFmtId="0" fontId="4" fillId="2" borderId="25" xfId="0" applyFont="1" applyFill="1" applyBorder="1" applyAlignment="1" applyProtection="1">
      <alignment horizontal="center" vertical="center" wrapText="1"/>
    </xf>
    <xf numFmtId="0" fontId="4" fillId="17" borderId="26" xfId="0" applyFont="1" applyFill="1" applyBorder="1" applyAlignment="1" applyProtection="1">
      <alignment horizontal="center" vertical="center" wrapText="1"/>
    </xf>
    <xf numFmtId="0" fontId="4" fillId="14" borderId="5" xfId="0" applyFont="1" applyFill="1" applyBorder="1" applyAlignment="1">
      <alignment vertical="center" wrapText="1"/>
    </xf>
    <xf numFmtId="0" fontId="4" fillId="14" borderId="0" xfId="0" applyFont="1" applyFill="1" applyBorder="1" applyAlignment="1">
      <alignment vertical="center" wrapText="1"/>
    </xf>
    <xf numFmtId="0" fontId="0" fillId="0" borderId="0" xfId="0" applyFill="1" applyBorder="1" applyAlignment="1" applyProtection="1">
      <alignment horizontal="center" vertical="center" wrapText="1"/>
    </xf>
    <xf numFmtId="0" fontId="5" fillId="18" borderId="3" xfId="0" applyFont="1" applyFill="1" applyBorder="1" applyAlignment="1" applyProtection="1">
      <alignment horizontal="center" vertical="center" wrapText="1"/>
    </xf>
    <xf numFmtId="0" fontId="4" fillId="0" borderId="0" xfId="0" applyFont="1" applyBorder="1" applyAlignment="1">
      <alignment horizontal="center" vertical="center" wrapText="1"/>
    </xf>
    <xf numFmtId="0" fontId="4" fillId="17" borderId="2" xfId="0" applyFont="1" applyFill="1" applyBorder="1" applyAlignment="1">
      <alignment horizontal="center" vertical="center" wrapText="1"/>
    </xf>
    <xf numFmtId="0" fontId="0" fillId="17" borderId="27" xfId="0" applyFill="1" applyBorder="1" applyAlignment="1">
      <alignment horizontal="center" vertical="center" wrapText="1"/>
    </xf>
    <xf numFmtId="9" fontId="0" fillId="0" borderId="0" xfId="0" applyNumberFormat="1" applyAlignment="1">
      <alignment horizontal="center" vertical="center" wrapText="1"/>
    </xf>
    <xf numFmtId="0" fontId="5" fillId="18" borderId="22" xfId="0" applyFont="1" applyFill="1" applyBorder="1" applyAlignment="1">
      <alignment horizontal="center" vertical="center" wrapText="1"/>
    </xf>
    <xf numFmtId="0" fontId="5" fillId="18" borderId="2" xfId="0" applyFont="1" applyFill="1" applyBorder="1" applyAlignment="1">
      <alignment horizontal="center" vertical="center" wrapText="1"/>
    </xf>
    <xf numFmtId="0" fontId="4" fillId="17" borderId="22" xfId="0" applyFont="1" applyFill="1" applyBorder="1" applyAlignment="1" applyProtection="1">
      <alignment horizontal="center" vertical="center" wrapText="1"/>
    </xf>
    <xf numFmtId="0" fontId="4" fillId="0" borderId="23" xfId="0" applyFont="1" applyBorder="1" applyAlignment="1" applyProtection="1">
      <alignment horizontal="center" vertical="center" wrapText="1"/>
      <protection locked="0"/>
    </xf>
    <xf numFmtId="0" fontId="5" fillId="0" borderId="0" xfId="0" applyFont="1" applyAlignment="1" applyProtection="1">
      <alignment vertical="center" wrapText="1"/>
    </xf>
    <xf numFmtId="0" fontId="4" fillId="0" borderId="25" xfId="0" applyFont="1" applyBorder="1" applyAlignment="1" applyProtection="1">
      <alignment horizontal="center" vertical="center" wrapText="1"/>
      <protection locked="0"/>
    </xf>
    <xf numFmtId="0" fontId="5" fillId="17" borderId="29" xfId="0" applyFont="1" applyFill="1" applyBorder="1" applyAlignment="1" applyProtection="1">
      <alignment horizontal="center" vertical="center" wrapText="1"/>
    </xf>
    <xf numFmtId="0" fontId="5" fillId="17" borderId="28" xfId="0" applyFont="1" applyFill="1" applyBorder="1" applyAlignment="1" applyProtection="1">
      <alignment horizontal="center" vertical="center" wrapText="1"/>
    </xf>
    <xf numFmtId="0" fontId="8" fillId="0" borderId="0" xfId="0" applyFont="1" applyAlignment="1" applyProtection="1">
      <alignment horizontal="center" vertical="center" wrapText="1"/>
    </xf>
    <xf numFmtId="0" fontId="0" fillId="17" borderId="24" xfId="0" applyFill="1" applyBorder="1" applyAlignment="1">
      <alignment horizontal="center" vertical="center" wrapText="1"/>
    </xf>
    <xf numFmtId="0" fontId="4" fillId="17" borderId="23" xfId="0" applyFont="1" applyFill="1" applyBorder="1" applyAlignment="1">
      <alignment horizontal="center" vertical="center" wrapText="1"/>
    </xf>
    <xf numFmtId="0" fontId="4" fillId="17" borderId="24" xfId="0" applyFont="1" applyFill="1" applyBorder="1" applyAlignment="1">
      <alignment horizontal="center" vertical="center" wrapText="1"/>
    </xf>
    <xf numFmtId="0" fontId="4" fillId="17" borderId="23" xfId="0" applyFont="1" applyFill="1" applyBorder="1" applyAlignment="1">
      <alignment horizontal="center" vertical="center" wrapText="1"/>
    </xf>
    <xf numFmtId="0" fontId="4" fillId="17" borderId="24" xfId="0" applyFont="1" applyFill="1" applyBorder="1" applyAlignment="1">
      <alignment horizontal="center" vertical="center" wrapText="1"/>
    </xf>
    <xf numFmtId="0" fontId="4" fillId="14" borderId="23" xfId="0" applyFont="1" applyFill="1" applyBorder="1" applyAlignment="1" applyProtection="1">
      <alignment horizontal="center" vertical="center" wrapText="1"/>
      <protection locked="0"/>
    </xf>
    <xf numFmtId="0" fontId="4" fillId="14" borderId="22" xfId="0" applyFont="1" applyFill="1" applyBorder="1" applyAlignment="1" applyProtection="1">
      <alignment horizontal="center" vertical="center" wrapText="1"/>
      <protection locked="0"/>
    </xf>
    <xf numFmtId="0" fontId="4" fillId="0" borderId="23" xfId="0" applyNumberFormat="1" applyFont="1" applyBorder="1" applyAlignment="1" applyProtection="1">
      <alignment horizontal="center" vertical="center" wrapText="1"/>
      <protection locked="0"/>
    </xf>
    <xf numFmtId="0" fontId="4" fillId="0" borderId="25" xfId="0" applyNumberFormat="1" applyFont="1" applyBorder="1" applyAlignment="1" applyProtection="1">
      <alignment horizontal="center" vertical="center" wrapText="1"/>
      <protection locked="0"/>
    </xf>
    <xf numFmtId="0" fontId="4" fillId="0" borderId="24" xfId="0" applyNumberFormat="1" applyFont="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30" xfId="0" applyFont="1" applyBorder="1" applyAlignment="1" applyProtection="1">
      <alignment horizontal="center" vertical="center" wrapText="1"/>
      <protection locked="0"/>
    </xf>
    <xf numFmtId="0" fontId="0" fillId="0" borderId="0" xfId="0" applyAlignment="1" applyProtection="1">
      <alignment wrapText="1"/>
    </xf>
    <xf numFmtId="0" fontId="0" fillId="0" borderId="3" xfId="0" applyBorder="1" applyAlignment="1" applyProtection="1">
      <alignment horizontal="center" vertical="center" wrapText="1"/>
      <protection locked="0"/>
    </xf>
    <xf numFmtId="0" fontId="4" fillId="0" borderId="33" xfId="0" applyFont="1" applyBorder="1" applyAlignment="1" applyProtection="1">
      <alignment horizontal="center" vertical="center" wrapText="1"/>
      <protection locked="0"/>
    </xf>
    <xf numFmtId="0" fontId="4" fillId="0" borderId="34"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0" fillId="0" borderId="29" xfId="0" applyBorder="1" applyAlignment="1" applyProtection="1">
      <alignment horizontal="center" vertical="center" wrapText="1"/>
      <protection locked="0"/>
    </xf>
    <xf numFmtId="0" fontId="0" fillId="0" borderId="23" xfId="0" applyBorder="1" applyAlignment="1" applyProtection="1">
      <alignment horizontal="center" vertical="center" wrapText="1"/>
      <protection locked="0"/>
    </xf>
    <xf numFmtId="0" fontId="5" fillId="0" borderId="0" xfId="0" applyFont="1" applyAlignment="1" applyProtection="1">
      <alignment horizontal="center" vertical="center" wrapText="1"/>
    </xf>
    <xf numFmtId="0" fontId="27" fillId="17" borderId="23" xfId="0" applyFont="1" applyFill="1" applyBorder="1" applyAlignment="1" applyProtection="1">
      <alignment horizontal="center" vertical="center" wrapText="1"/>
    </xf>
    <xf numFmtId="0" fontId="26" fillId="19" borderId="29" xfId="0" applyFont="1" applyFill="1" applyBorder="1" applyAlignment="1" applyProtection="1">
      <alignment horizontal="center" vertical="center" wrapText="1"/>
    </xf>
    <xf numFmtId="0" fontId="27" fillId="17" borderId="25" xfId="0" applyFont="1" applyFill="1" applyBorder="1" applyAlignment="1" applyProtection="1">
      <alignment horizontal="center" vertical="center" wrapText="1"/>
    </xf>
    <xf numFmtId="0" fontId="4" fillId="0" borderId="0" xfId="0" applyFont="1" applyAlignment="1" applyProtection="1">
      <alignment wrapText="1"/>
    </xf>
    <xf numFmtId="0" fontId="4" fillId="14" borderId="30" xfId="0" applyFont="1" applyFill="1" applyBorder="1" applyAlignment="1" applyProtection="1">
      <alignment horizontal="center" vertical="center" wrapText="1"/>
      <protection locked="0"/>
    </xf>
    <xf numFmtId="0" fontId="4" fillId="0" borderId="26"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xf>
    <xf numFmtId="0" fontId="5" fillId="18" borderId="2" xfId="0" applyFont="1" applyFill="1" applyBorder="1" applyAlignment="1" applyProtection="1">
      <alignment horizontal="center" vertical="center" wrapText="1"/>
    </xf>
    <xf numFmtId="0" fontId="5" fillId="18" borderId="27" xfId="0" applyFont="1" applyFill="1" applyBorder="1" applyAlignment="1" applyProtection="1">
      <alignment horizontal="center" vertical="center" wrapText="1"/>
    </xf>
    <xf numFmtId="0" fontId="5" fillId="18" borderId="28" xfId="0" applyFont="1" applyFill="1" applyBorder="1" applyAlignment="1" applyProtection="1">
      <alignment horizontal="center" vertical="center" wrapText="1"/>
    </xf>
    <xf numFmtId="0" fontId="8" fillId="0" borderId="0" xfId="0" applyFont="1" applyAlignment="1" applyProtection="1">
      <alignment horizontal="center" vertical="center" wrapText="1"/>
    </xf>
    <xf numFmtId="0" fontId="5" fillId="17" borderId="23" xfId="0" applyFont="1" applyFill="1" applyBorder="1" applyAlignment="1" applyProtection="1">
      <alignment horizontal="center" vertical="center" wrapText="1"/>
    </xf>
    <xf numFmtId="0" fontId="5" fillId="17" borderId="24" xfId="0" applyFont="1" applyFill="1" applyBorder="1" applyAlignment="1" applyProtection="1">
      <alignment horizontal="center" vertical="center" wrapText="1"/>
    </xf>
    <xf numFmtId="0" fontId="4" fillId="0" borderId="27" xfId="0" applyNumberFormat="1" applyFont="1" applyBorder="1" applyAlignment="1" applyProtection="1">
      <alignment horizontal="center" vertical="center" wrapText="1"/>
      <protection locked="0"/>
    </xf>
    <xf numFmtId="0" fontId="5" fillId="0" borderId="39" xfId="0" applyFont="1" applyBorder="1" applyAlignment="1" applyProtection="1">
      <alignment horizontal="center" vertical="center" wrapText="1"/>
    </xf>
    <xf numFmtId="1" fontId="9" fillId="0" borderId="10" xfId="0" applyNumberFormat="1" applyFont="1" applyFill="1" applyBorder="1" applyAlignment="1" applyProtection="1">
      <alignment horizontal="center" vertical="center"/>
    </xf>
    <xf numFmtId="1" fontId="9" fillId="0" borderId="4" xfId="0" applyNumberFormat="1" applyFont="1" applyFill="1" applyBorder="1" applyAlignment="1" applyProtection="1">
      <alignment horizontal="center" vertical="center"/>
    </xf>
    <xf numFmtId="0" fontId="0" fillId="18" borderId="27" xfId="0" applyFill="1" applyBorder="1" applyAlignment="1" applyProtection="1">
      <alignment horizontal="center" vertical="center"/>
    </xf>
    <xf numFmtId="0" fontId="0" fillId="18" borderId="28" xfId="0" applyFill="1" applyBorder="1" applyAlignment="1" applyProtection="1">
      <alignment horizontal="center" vertical="center"/>
    </xf>
    <xf numFmtId="1" fontId="5" fillId="17" borderId="27" xfId="0" applyNumberFormat="1" applyFont="1" applyFill="1" applyBorder="1" applyAlignment="1" applyProtection="1">
      <alignment horizontal="center" vertical="center"/>
    </xf>
    <xf numFmtId="0" fontId="5" fillId="17" borderId="29" xfId="0" applyFont="1" applyFill="1" applyBorder="1" applyAlignment="1" applyProtection="1">
      <alignment horizontal="center" vertical="center"/>
    </xf>
    <xf numFmtId="2" fontId="0" fillId="17" borderId="24" xfId="0" applyNumberFormat="1" applyFill="1" applyBorder="1" applyAlignment="1" applyProtection="1">
      <alignment horizontal="center" vertical="center" wrapText="1"/>
    </xf>
    <xf numFmtId="2" fontId="0" fillId="17" borderId="27" xfId="0" applyNumberFormat="1" applyFill="1" applyBorder="1" applyAlignment="1" applyProtection="1">
      <alignment horizontal="center" vertical="center" wrapText="1"/>
    </xf>
    <xf numFmtId="2" fontId="0" fillId="17" borderId="28" xfId="0" applyNumberFormat="1" applyFill="1" applyBorder="1" applyAlignment="1" applyProtection="1">
      <alignment horizontal="center" vertical="center" wrapText="1"/>
    </xf>
    <xf numFmtId="2" fontId="4" fillId="17" borderId="26" xfId="0" applyNumberFormat="1" applyFont="1" applyFill="1" applyBorder="1" applyAlignment="1" applyProtection="1">
      <alignment horizontal="center" vertical="center" wrapText="1"/>
    </xf>
    <xf numFmtId="2" fontId="4" fillId="0" borderId="24" xfId="0" applyNumberFormat="1" applyFont="1" applyBorder="1" applyAlignment="1" applyProtection="1">
      <alignment horizontal="center" vertical="center" wrapText="1"/>
      <protection locked="0"/>
    </xf>
    <xf numFmtId="2" fontId="0" fillId="17" borderId="24" xfId="0" applyNumberFormat="1" applyFill="1" applyBorder="1" applyAlignment="1">
      <alignment horizontal="center" vertical="center" wrapText="1"/>
    </xf>
    <xf numFmtId="2" fontId="0" fillId="17" borderId="22" xfId="0" applyNumberFormat="1" applyFill="1" applyBorder="1" applyAlignment="1">
      <alignment horizontal="center" vertical="center" wrapText="1"/>
    </xf>
    <xf numFmtId="1" fontId="5" fillId="17" borderId="28" xfId="0" applyNumberFormat="1" applyFont="1" applyFill="1" applyBorder="1" applyAlignment="1" applyProtection="1">
      <alignment horizontal="center" vertical="center"/>
    </xf>
    <xf numFmtId="164" fontId="5" fillId="17" borderId="28" xfId="0" applyNumberFormat="1" applyFont="1" applyFill="1" applyBorder="1" applyAlignment="1" applyProtection="1">
      <alignment horizontal="center" vertical="center"/>
    </xf>
    <xf numFmtId="0" fontId="4" fillId="17" borderId="27" xfId="0" applyFont="1" applyFill="1" applyBorder="1" applyAlignment="1">
      <alignment horizontal="center" vertical="center" wrapText="1"/>
    </xf>
    <xf numFmtId="0" fontId="0" fillId="0" borderId="27" xfId="0" applyBorder="1" applyAlignment="1" applyProtection="1">
      <alignment horizontal="center" vertical="center" wrapText="1"/>
      <protection locked="0"/>
    </xf>
    <xf numFmtId="0" fontId="4" fillId="0" borderId="30" xfId="0" applyFont="1" applyFill="1" applyBorder="1" applyAlignment="1" applyProtection="1">
      <alignment horizontal="center" vertical="center" wrapText="1"/>
      <protection locked="0"/>
    </xf>
    <xf numFmtId="0" fontId="4" fillId="0" borderId="28"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0" xfId="0" applyFont="1" applyFill="1" applyBorder="1" applyAlignment="1">
      <alignment horizontal="center" vertical="center"/>
    </xf>
    <xf numFmtId="0" fontId="5" fillId="20" borderId="27" xfId="0" applyFont="1" applyFill="1" applyBorder="1" applyAlignment="1">
      <alignment horizontal="center" vertical="center"/>
    </xf>
    <xf numFmtId="0" fontId="5" fillId="18" borderId="4" xfId="0" applyFont="1" applyFill="1" applyBorder="1" applyAlignment="1" applyProtection="1">
      <alignment horizontal="left" vertical="center"/>
    </xf>
    <xf numFmtId="0" fontId="5" fillId="18" borderId="4" xfId="0" applyFont="1" applyFill="1" applyBorder="1" applyAlignment="1" applyProtection="1">
      <alignment horizontal="right" vertical="center"/>
    </xf>
    <xf numFmtId="2" fontId="5" fillId="17" borderId="22" xfId="0" applyNumberFormat="1" applyFont="1" applyFill="1" applyBorder="1" applyAlignment="1" applyProtection="1">
      <alignment horizontal="center" vertical="center" wrapText="1"/>
    </xf>
    <xf numFmtId="0" fontId="5" fillId="0" borderId="0" xfId="0" applyFont="1" applyAlignment="1" applyProtection="1">
      <alignment horizontal="center" vertical="center"/>
    </xf>
    <xf numFmtId="0" fontId="0" fillId="0" borderId="57" xfId="0" applyBorder="1" applyAlignment="1" applyProtection="1">
      <alignment horizontal="center" vertical="center" wrapText="1"/>
    </xf>
    <xf numFmtId="0" fontId="5" fillId="0" borderId="57" xfId="0" applyFont="1" applyBorder="1" applyAlignment="1" applyProtection="1">
      <alignment horizontal="center" vertical="center" wrapText="1"/>
    </xf>
    <xf numFmtId="0" fontId="4" fillId="0" borderId="57" xfId="0" applyFont="1" applyBorder="1" applyAlignment="1" applyProtection="1">
      <alignment horizontal="center" vertical="center" wrapText="1"/>
    </xf>
    <xf numFmtId="0" fontId="4" fillId="0" borderId="0" xfId="0" applyFont="1" applyAlignment="1">
      <alignment horizontal="center" vertical="center"/>
    </xf>
    <xf numFmtId="0" fontId="4" fillId="0" borderId="0" xfId="0" applyFont="1" applyAlignment="1">
      <alignment vertical="center"/>
    </xf>
    <xf numFmtId="0" fontId="4" fillId="0" borderId="0" xfId="0" applyFont="1" applyAlignment="1" applyProtection="1">
      <alignment horizontal="center" vertical="center"/>
    </xf>
    <xf numFmtId="0" fontId="5" fillId="20" borderId="29" xfId="0" applyFont="1" applyFill="1" applyBorder="1" applyAlignment="1">
      <alignment horizontal="center" vertical="center"/>
    </xf>
    <xf numFmtId="0" fontId="4" fillId="18" borderId="2" xfId="0" applyFont="1" applyFill="1" applyBorder="1" applyAlignment="1" applyProtection="1">
      <alignment horizontal="center" vertical="center"/>
    </xf>
    <xf numFmtId="0" fontId="4" fillId="18" borderId="3" xfId="0" applyFont="1" applyFill="1" applyBorder="1" applyAlignment="1" applyProtection="1">
      <alignment horizontal="center" vertical="center"/>
    </xf>
    <xf numFmtId="0" fontId="4" fillId="22" borderId="56" xfId="0" applyFont="1" applyFill="1" applyBorder="1" applyAlignment="1" applyProtection="1">
      <alignment horizontal="center" vertical="center"/>
    </xf>
    <xf numFmtId="0" fontId="4" fillId="21" borderId="56" xfId="0" applyFont="1" applyFill="1" applyBorder="1" applyAlignment="1" applyProtection="1">
      <alignment horizontal="center" vertical="center"/>
    </xf>
    <xf numFmtId="0" fontId="5" fillId="20" borderId="28" xfId="0" applyFont="1" applyFill="1" applyBorder="1" applyAlignment="1">
      <alignment horizontal="center" vertical="center"/>
    </xf>
    <xf numFmtId="0" fontId="4" fillId="0" borderId="6" xfId="0" applyFont="1" applyBorder="1" applyAlignment="1">
      <alignment horizontal="center" vertical="center"/>
    </xf>
    <xf numFmtId="0" fontId="4" fillId="0" borderId="6" xfId="0" applyFont="1" applyBorder="1"/>
    <xf numFmtId="0" fontId="4" fillId="0" borderId="6" xfId="0" applyFont="1" applyBorder="1" applyAlignment="1">
      <alignment horizontal="center"/>
    </xf>
    <xf numFmtId="2" fontId="4" fillId="17" borderId="22" xfId="0" applyNumberFormat="1" applyFont="1" applyFill="1" applyBorder="1" applyAlignment="1" applyProtection="1">
      <alignment horizontal="center" vertical="center" wrapText="1"/>
    </xf>
    <xf numFmtId="0" fontId="5" fillId="22" borderId="1" xfId="0" applyFont="1" applyFill="1" applyBorder="1" applyAlignment="1" applyProtection="1">
      <alignment horizontal="left" vertical="center"/>
    </xf>
    <xf numFmtId="0" fontId="5" fillId="21" borderId="5" xfId="0" applyFont="1" applyFill="1" applyBorder="1" applyAlignment="1" applyProtection="1">
      <alignment horizontal="left" vertical="center"/>
    </xf>
    <xf numFmtId="0" fontId="4" fillId="18" borderId="4" xfId="0" applyFont="1" applyFill="1" applyBorder="1" applyAlignment="1" applyProtection="1">
      <alignment horizontal="center" vertical="center"/>
    </xf>
    <xf numFmtId="0" fontId="5" fillId="22" borderId="5" xfId="0" applyFont="1" applyFill="1" applyBorder="1" applyAlignment="1" applyProtection="1">
      <alignment horizontal="left" vertical="center"/>
    </xf>
    <xf numFmtId="0" fontId="4" fillId="17" borderId="2" xfId="0" applyFont="1" applyFill="1" applyBorder="1" applyAlignment="1" applyProtection="1">
      <alignment horizontal="left" vertical="center"/>
    </xf>
    <xf numFmtId="0" fontId="4" fillId="17" borderId="61" xfId="0" applyFont="1" applyFill="1" applyBorder="1" applyAlignment="1" applyProtection="1">
      <alignment horizontal="center" vertical="center" wrapText="1"/>
    </xf>
    <xf numFmtId="0" fontId="4" fillId="17" borderId="4" xfId="0" applyFont="1" applyFill="1" applyBorder="1" applyAlignment="1" applyProtection="1">
      <alignment horizontal="center" vertical="center" wrapText="1"/>
    </xf>
    <xf numFmtId="0" fontId="4" fillId="0" borderId="6" xfId="0" applyFont="1" applyFill="1" applyBorder="1" applyAlignment="1">
      <alignment horizontal="center" vertical="center"/>
    </xf>
    <xf numFmtId="0" fontId="4" fillId="17" borderId="4" xfId="0" applyFont="1" applyFill="1" applyBorder="1" applyAlignment="1" applyProtection="1">
      <alignment horizontal="left" vertical="center"/>
    </xf>
    <xf numFmtId="1" fontId="4" fillId="0" borderId="4" xfId="0" applyNumberFormat="1" applyFont="1" applyFill="1" applyBorder="1" applyAlignment="1" applyProtection="1">
      <alignment horizontal="center" vertical="center"/>
    </xf>
    <xf numFmtId="0" fontId="29" fillId="18" borderId="22" xfId="0" applyFont="1" applyFill="1" applyBorder="1" applyAlignment="1">
      <alignment horizontal="center" vertical="center"/>
    </xf>
    <xf numFmtId="0" fontId="4" fillId="17" borderId="22" xfId="0" applyFont="1" applyFill="1" applyBorder="1" applyAlignment="1">
      <alignment horizontal="center" vertical="center"/>
    </xf>
    <xf numFmtId="0" fontId="4" fillId="16" borderId="22" xfId="0" applyFont="1" applyFill="1" applyBorder="1" applyAlignment="1">
      <alignment horizontal="center" vertical="center"/>
    </xf>
    <xf numFmtId="2" fontId="0" fillId="0" borderId="0" xfId="0" applyNumberFormat="1" applyFill="1" applyBorder="1" applyAlignment="1">
      <alignment horizontal="center" vertical="center"/>
    </xf>
    <xf numFmtId="2" fontId="30" fillId="0" borderId="0" xfId="0" applyNumberFormat="1" applyFont="1" applyFill="1" applyBorder="1" applyAlignment="1">
      <alignment horizontal="center" vertical="center"/>
    </xf>
    <xf numFmtId="0" fontId="5" fillId="0" borderId="0"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64" xfId="0" applyFont="1" applyFill="1" applyBorder="1" applyAlignment="1">
      <alignment horizontal="center" vertical="center"/>
    </xf>
    <xf numFmtId="0" fontId="5" fillId="21" borderId="1" xfId="0" applyFont="1" applyFill="1" applyBorder="1" applyAlignment="1" applyProtection="1">
      <alignment horizontal="left" vertical="center"/>
    </xf>
    <xf numFmtId="0" fontId="4" fillId="0" borderId="4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48" xfId="0" applyFont="1" applyFill="1" applyBorder="1" applyAlignment="1">
      <alignment horizontal="center" vertical="center" wrapText="1"/>
    </xf>
    <xf numFmtId="0" fontId="4" fillId="0" borderId="6" xfId="0" applyFont="1" applyBorder="1" applyAlignment="1">
      <alignment horizontal="center" wrapText="1"/>
    </xf>
    <xf numFmtId="0" fontId="4" fillId="0" borderId="47" xfId="0" applyNumberFormat="1" applyFont="1" applyBorder="1" applyAlignment="1">
      <alignment horizontal="center" vertical="center" wrapText="1"/>
    </xf>
    <xf numFmtId="0" fontId="4" fillId="0" borderId="47"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15" xfId="0" applyFont="1" applyBorder="1" applyAlignment="1">
      <alignment horizontal="center" vertical="center" wrapText="1"/>
    </xf>
    <xf numFmtId="0" fontId="5" fillId="20" borderId="1" xfId="0" applyFont="1" applyFill="1" applyBorder="1" applyAlignment="1">
      <alignment vertical="center"/>
    </xf>
    <xf numFmtId="0" fontId="0" fillId="20" borderId="56" xfId="0" applyFill="1" applyBorder="1" applyAlignment="1"/>
    <xf numFmtId="0" fontId="0" fillId="20" borderId="14" xfId="0" applyFill="1" applyBorder="1" applyAlignment="1"/>
    <xf numFmtId="0" fontId="5" fillId="20" borderId="13" xfId="0" applyFont="1" applyFill="1" applyBorder="1" applyAlignment="1">
      <alignment horizontal="left" vertical="top"/>
    </xf>
    <xf numFmtId="2" fontId="30" fillId="16" borderId="3" xfId="0" applyNumberFormat="1" applyFont="1" applyFill="1" applyBorder="1" applyAlignment="1">
      <alignment horizontal="right" vertical="center" wrapText="1"/>
    </xf>
    <xf numFmtId="2" fontId="30" fillId="16" borderId="3" xfId="0" applyNumberFormat="1" applyFont="1" applyFill="1" applyBorder="1" applyAlignment="1">
      <alignment vertical="center"/>
    </xf>
    <xf numFmtId="0" fontId="4" fillId="16" borderId="2" xfId="0" applyFont="1" applyFill="1" applyBorder="1" applyAlignment="1">
      <alignment horizontal="center" vertical="center"/>
    </xf>
    <xf numFmtId="164" fontId="4" fillId="0" borderId="0" xfId="0" applyNumberFormat="1" applyFont="1" applyBorder="1" applyProtection="1">
      <protection locked="0"/>
    </xf>
    <xf numFmtId="0" fontId="4" fillId="0" borderId="15" xfId="0" applyFont="1" applyFill="1" applyBorder="1" applyAlignment="1">
      <alignment horizontal="center" vertical="center" wrapText="1"/>
    </xf>
    <xf numFmtId="0" fontId="4" fillId="0" borderId="50" xfId="0" applyFont="1" applyFill="1" applyBorder="1" applyAlignment="1">
      <alignment horizontal="center" vertical="center" wrapText="1"/>
    </xf>
    <xf numFmtId="1" fontId="4" fillId="0" borderId="3" xfId="0" applyNumberFormat="1" applyFont="1" applyFill="1" applyBorder="1" applyAlignment="1" applyProtection="1">
      <alignment horizontal="center" vertical="center"/>
    </xf>
    <xf numFmtId="1" fontId="4" fillId="0" borderId="58" xfId="0" applyNumberFormat="1" applyFont="1" applyFill="1" applyBorder="1" applyAlignment="1" applyProtection="1">
      <alignment horizontal="center" vertical="center"/>
    </xf>
    <xf numFmtId="1" fontId="4" fillId="0" borderId="33" xfId="0" applyNumberFormat="1" applyFont="1" applyFill="1" applyBorder="1" applyAlignment="1" applyProtection="1">
      <alignment horizontal="center" vertical="center"/>
    </xf>
    <xf numFmtId="1" fontId="4" fillId="0" borderId="59" xfId="0" applyNumberFormat="1" applyFont="1" applyFill="1" applyBorder="1" applyAlignment="1" applyProtection="1">
      <alignment horizontal="center" vertical="center"/>
    </xf>
    <xf numFmtId="1" fontId="4" fillId="0" borderId="34" xfId="0" applyNumberFormat="1" applyFont="1" applyFill="1" applyBorder="1" applyAlignment="1" applyProtection="1">
      <alignment horizontal="center" vertical="center"/>
    </xf>
    <xf numFmtId="1" fontId="4" fillId="0" borderId="60" xfId="0" applyNumberFormat="1" applyFont="1" applyFill="1" applyBorder="1" applyAlignment="1" applyProtection="1">
      <alignment horizontal="center" vertical="center"/>
    </xf>
    <xf numFmtId="1" fontId="4" fillId="0" borderId="35" xfId="0" applyNumberFormat="1" applyFont="1" applyFill="1" applyBorder="1" applyAlignment="1" applyProtection="1">
      <alignment horizontal="center" vertical="center"/>
    </xf>
    <xf numFmtId="1" fontId="4" fillId="0" borderId="61" xfId="0" applyNumberFormat="1" applyFont="1" applyFill="1" applyBorder="1" applyAlignment="1" applyProtection="1">
      <alignment horizontal="center" vertical="center"/>
    </xf>
    <xf numFmtId="1" fontId="4" fillId="0" borderId="54" xfId="0" applyNumberFormat="1" applyFont="1" applyFill="1" applyBorder="1" applyAlignment="1" applyProtection="1">
      <alignment horizontal="center" vertical="center"/>
    </xf>
    <xf numFmtId="1" fontId="4" fillId="0" borderId="55" xfId="0" applyNumberFormat="1" applyFont="1" applyFill="1" applyBorder="1" applyAlignment="1" applyProtection="1">
      <alignment horizontal="center" vertical="center"/>
    </xf>
    <xf numFmtId="1" fontId="4" fillId="0" borderId="63" xfId="0" applyNumberFormat="1" applyFont="1" applyFill="1" applyBorder="1" applyAlignment="1" applyProtection="1">
      <alignment horizontal="center" vertical="center"/>
    </xf>
    <xf numFmtId="2" fontId="32" fillId="16" borderId="4" xfId="0" applyNumberFormat="1" applyFont="1" applyFill="1" applyBorder="1" applyAlignment="1">
      <alignment horizontal="center" vertical="center" wrapText="1"/>
    </xf>
    <xf numFmtId="0" fontId="4" fillId="17" borderId="23" xfId="0" applyFont="1" applyFill="1" applyBorder="1" applyAlignment="1">
      <alignment horizontal="center" vertical="center" wrapText="1"/>
    </xf>
    <xf numFmtId="0" fontId="4" fillId="17" borderId="56" xfId="0" applyFont="1" applyFill="1" applyBorder="1" applyAlignment="1" applyProtection="1">
      <alignment horizontal="center" vertical="center" wrapText="1"/>
    </xf>
    <xf numFmtId="0" fontId="4" fillId="0" borderId="59" xfId="0" applyFont="1" applyBorder="1" applyAlignment="1">
      <alignment horizontal="center" vertical="center"/>
    </xf>
    <xf numFmtId="0" fontId="4" fillId="0" borderId="48" xfId="0" applyFont="1" applyBorder="1" applyAlignment="1">
      <alignment horizontal="center" vertical="center" wrapText="1"/>
    </xf>
    <xf numFmtId="0" fontId="4" fillId="17" borderId="6" xfId="0" applyFont="1" applyFill="1" applyBorder="1" applyAlignment="1" applyProtection="1">
      <alignment horizontal="center" vertical="center" wrapText="1"/>
    </xf>
    <xf numFmtId="0" fontId="4" fillId="17" borderId="47" xfId="0" applyFont="1" applyFill="1" applyBorder="1" applyAlignment="1" applyProtection="1">
      <alignment horizontal="center" vertical="center" wrapText="1"/>
    </xf>
    <xf numFmtId="0" fontId="4" fillId="17" borderId="6" xfId="0" applyNumberFormat="1" applyFont="1" applyFill="1" applyBorder="1" applyAlignment="1" applyProtection="1">
      <alignment horizontal="center" vertical="center" wrapText="1"/>
    </xf>
    <xf numFmtId="0" fontId="4" fillId="17" borderId="48" xfId="0" applyNumberFormat="1" applyFont="1" applyFill="1" applyBorder="1" applyAlignment="1" applyProtection="1">
      <alignment horizontal="center" vertical="center" wrapText="1"/>
    </xf>
    <xf numFmtId="0" fontId="5" fillId="17" borderId="23" xfId="0" applyFont="1" applyFill="1" applyBorder="1" applyAlignment="1" applyProtection="1">
      <alignment horizontal="center" vertical="center" wrapText="1"/>
    </xf>
    <xf numFmtId="0" fontId="5" fillId="17" borderId="24" xfId="0" applyFont="1" applyFill="1" applyBorder="1" applyAlignment="1" applyProtection="1">
      <alignment horizontal="center" vertical="center" wrapText="1"/>
    </xf>
    <xf numFmtId="0" fontId="4" fillId="0" borderId="50" xfId="0" applyFont="1" applyBorder="1" applyAlignment="1">
      <alignment horizontal="center" vertical="center" wrapText="1"/>
    </xf>
    <xf numFmtId="0" fontId="4" fillId="0" borderId="60" xfId="0" applyFont="1" applyBorder="1" applyAlignment="1">
      <alignment horizontal="center" vertical="center"/>
    </xf>
    <xf numFmtId="0" fontId="4" fillId="0" borderId="55" xfId="0" applyFont="1" applyBorder="1" applyAlignment="1">
      <alignment horizontal="center" vertical="center" wrapText="1"/>
    </xf>
    <xf numFmtId="0" fontId="4" fillId="0" borderId="49" xfId="0" applyFont="1" applyBorder="1" applyAlignment="1">
      <alignment horizontal="center" vertical="center"/>
    </xf>
    <xf numFmtId="2" fontId="4" fillId="0" borderId="22" xfId="0" applyNumberFormat="1" applyFont="1" applyFill="1" applyBorder="1" applyAlignment="1" applyProtection="1">
      <alignment horizontal="center" vertical="center" wrapText="1"/>
      <protection locked="0"/>
    </xf>
    <xf numFmtId="2" fontId="4" fillId="0" borderId="23" xfId="0" applyNumberFormat="1" applyFont="1" applyFill="1" applyBorder="1" applyAlignment="1" applyProtection="1">
      <alignment horizontal="center" vertical="center" wrapText="1"/>
      <protection locked="0"/>
    </xf>
    <xf numFmtId="2" fontId="4" fillId="0" borderId="25" xfId="0" applyNumberFormat="1" applyFont="1" applyFill="1" applyBorder="1" applyAlignment="1" applyProtection="1">
      <alignment horizontal="center" vertical="center" wrapText="1"/>
      <protection locked="0"/>
    </xf>
    <xf numFmtId="2" fontId="4" fillId="0" borderId="24" xfId="0" applyNumberFormat="1" applyFont="1" applyFill="1" applyBorder="1" applyAlignment="1" applyProtection="1">
      <alignment horizontal="center" vertical="center" wrapText="1"/>
      <protection locked="0"/>
    </xf>
    <xf numFmtId="0" fontId="8" fillId="0" borderId="0" xfId="0" applyFont="1" applyAlignment="1" applyProtection="1">
      <alignment horizontal="left" vertical="center"/>
    </xf>
    <xf numFmtId="0" fontId="33" fillId="0" borderId="0" xfId="0" applyFont="1" applyAlignment="1">
      <alignment horizontal="center" vertical="center"/>
    </xf>
    <xf numFmtId="2" fontId="4" fillId="17" borderId="30" xfId="0" applyNumberFormat="1" applyFont="1" applyFill="1" applyBorder="1" applyAlignment="1" applyProtection="1">
      <alignment horizontal="center"/>
    </xf>
    <xf numFmtId="2" fontId="4" fillId="17" borderId="25" xfId="0" applyNumberFormat="1" applyFont="1" applyFill="1" applyBorder="1" applyAlignment="1" applyProtection="1">
      <alignment horizontal="center"/>
    </xf>
    <xf numFmtId="2" fontId="4" fillId="17" borderId="24" xfId="0" applyNumberFormat="1" applyFont="1" applyFill="1" applyBorder="1" applyAlignment="1" applyProtection="1">
      <alignment horizontal="center"/>
    </xf>
    <xf numFmtId="2" fontId="4" fillId="17" borderId="23" xfId="0" applyNumberFormat="1" applyFont="1" applyFill="1" applyBorder="1" applyAlignment="1" applyProtection="1">
      <alignment horizontal="center"/>
    </xf>
    <xf numFmtId="0" fontId="8" fillId="0" borderId="65" xfId="0" applyFont="1" applyBorder="1" applyAlignment="1">
      <alignment horizontal="center" vertical="center"/>
    </xf>
    <xf numFmtId="1" fontId="0" fillId="16" borderId="2" xfId="0" applyNumberFormat="1" applyFill="1" applyBorder="1" applyAlignment="1">
      <alignment horizontal="center" vertical="center"/>
    </xf>
    <xf numFmtId="1" fontId="0" fillId="16" borderId="18" xfId="0" applyNumberFormat="1" applyFill="1" applyBorder="1" applyAlignment="1">
      <alignment horizontal="center" vertical="center"/>
    </xf>
    <xf numFmtId="1" fontId="0" fillId="16" borderId="62" xfId="0" applyNumberFormat="1" applyFill="1" applyBorder="1" applyAlignment="1">
      <alignment horizontal="center" vertical="center"/>
    </xf>
    <xf numFmtId="1" fontId="0" fillId="16" borderId="19" xfId="0" applyNumberFormat="1" applyFill="1" applyBorder="1" applyAlignment="1">
      <alignment horizontal="center" vertical="center"/>
    </xf>
    <xf numFmtId="1" fontId="0" fillId="16" borderId="18" xfId="0" applyNumberFormat="1" applyFill="1" applyBorder="1" applyAlignment="1">
      <alignment horizontal="center" vertical="center" wrapText="1"/>
    </xf>
    <xf numFmtId="1" fontId="0" fillId="16" borderId="2" xfId="0" applyNumberFormat="1" applyFill="1" applyBorder="1" applyAlignment="1">
      <alignment horizontal="center" vertical="center" wrapText="1"/>
    </xf>
    <xf numFmtId="1" fontId="0" fillId="16" borderId="4" xfId="0" applyNumberFormat="1" applyFill="1" applyBorder="1" applyAlignment="1">
      <alignment horizontal="center" vertical="center"/>
    </xf>
    <xf numFmtId="1" fontId="0" fillId="16" borderId="58" xfId="0" applyNumberFormat="1" applyFill="1" applyBorder="1" applyAlignment="1">
      <alignment horizontal="center" vertical="center"/>
    </xf>
    <xf numFmtId="1" fontId="0" fillId="16" borderId="59" xfId="0" applyNumberFormat="1" applyFill="1" applyBorder="1" applyAlignment="1">
      <alignment horizontal="center" vertical="center"/>
    </xf>
    <xf numFmtId="1" fontId="0" fillId="16" borderId="60" xfId="0" applyNumberFormat="1" applyFill="1" applyBorder="1" applyAlignment="1">
      <alignment horizontal="center" vertical="center"/>
    </xf>
    <xf numFmtId="1" fontId="0" fillId="16" borderId="58" xfId="0" applyNumberFormat="1" applyFill="1" applyBorder="1" applyAlignment="1">
      <alignment horizontal="center" vertical="center" wrapText="1"/>
    </xf>
    <xf numFmtId="1" fontId="0" fillId="16" borderId="4" xfId="0" applyNumberFormat="1" applyFill="1" applyBorder="1" applyAlignment="1">
      <alignment horizontal="center" vertical="center" wrapText="1"/>
    </xf>
    <xf numFmtId="1" fontId="31" fillId="16" borderId="4" xfId="0" applyNumberFormat="1" applyFont="1" applyFill="1" applyBorder="1" applyAlignment="1">
      <alignment horizontal="center" vertical="center" wrapText="1"/>
    </xf>
    <xf numFmtId="164" fontId="0" fillId="16" borderId="2" xfId="0" applyNumberFormat="1" applyFill="1" applyBorder="1" applyAlignment="1">
      <alignment horizontal="center" vertical="center"/>
    </xf>
    <xf numFmtId="164" fontId="0" fillId="16" borderId="18" xfId="0" applyNumberFormat="1" applyFill="1" applyBorder="1" applyAlignment="1">
      <alignment horizontal="center" vertical="center"/>
    </xf>
    <xf numFmtId="164" fontId="0" fillId="16" borderId="62" xfId="0" applyNumberFormat="1" applyFill="1" applyBorder="1" applyAlignment="1">
      <alignment horizontal="center" vertical="center"/>
    </xf>
    <xf numFmtId="164" fontId="0" fillId="16" borderId="19" xfId="0" applyNumberFormat="1" applyFill="1" applyBorder="1" applyAlignment="1">
      <alignment horizontal="center" vertical="center"/>
    </xf>
    <xf numFmtId="164" fontId="0" fillId="16" borderId="4" xfId="0" applyNumberFormat="1" applyFill="1" applyBorder="1" applyAlignment="1">
      <alignment horizontal="center" vertical="center"/>
    </xf>
    <xf numFmtId="164" fontId="0" fillId="16" borderId="58" xfId="0" applyNumberFormat="1" applyFill="1" applyBorder="1" applyAlignment="1">
      <alignment horizontal="center" vertical="center"/>
    </xf>
    <xf numFmtId="164" fontId="0" fillId="16" borderId="59" xfId="0" applyNumberFormat="1" applyFill="1" applyBorder="1" applyAlignment="1">
      <alignment horizontal="center" vertical="center"/>
    </xf>
    <xf numFmtId="164" fontId="0" fillId="16" borderId="60" xfId="0" applyNumberFormat="1" applyFill="1" applyBorder="1" applyAlignment="1">
      <alignment horizontal="center" vertical="center"/>
    </xf>
    <xf numFmtId="164" fontId="31" fillId="16" borderId="4" xfId="0" applyNumberFormat="1" applyFont="1" applyFill="1" applyBorder="1" applyAlignment="1">
      <alignment horizontal="center" vertical="center"/>
    </xf>
    <xf numFmtId="0" fontId="9" fillId="17" borderId="5" xfId="0" applyFont="1" applyFill="1" applyBorder="1" applyAlignment="1" applyProtection="1">
      <alignment horizontal="center" vertical="center" wrapText="1"/>
    </xf>
    <xf numFmtId="2" fontId="4" fillId="0" borderId="29" xfId="0" applyNumberFormat="1" applyFont="1" applyBorder="1" applyAlignment="1" applyProtection="1">
      <alignment horizontal="center"/>
      <protection locked="0"/>
    </xf>
    <xf numFmtId="164" fontId="4" fillId="17" borderId="28" xfId="0" applyNumberFormat="1" applyFont="1" applyFill="1" applyBorder="1" applyAlignment="1" applyProtection="1">
      <alignment horizontal="center" vertical="center" wrapText="1"/>
    </xf>
    <xf numFmtId="0" fontId="5" fillId="2" borderId="22" xfId="0" applyFont="1" applyFill="1" applyBorder="1" applyAlignment="1" applyProtection="1">
      <alignment horizontal="center" vertical="center" wrapText="1"/>
    </xf>
    <xf numFmtId="0" fontId="5" fillId="2" borderId="30" xfId="0" applyFont="1" applyFill="1" applyBorder="1" applyAlignment="1" applyProtection="1">
      <alignment horizontal="center" vertical="center" wrapText="1"/>
    </xf>
    <xf numFmtId="0" fontId="5" fillId="2" borderId="25" xfId="0" applyFont="1" applyFill="1" applyBorder="1" applyAlignment="1" applyProtection="1">
      <alignment horizontal="center" vertical="center" wrapText="1"/>
    </xf>
    <xf numFmtId="0" fontId="5" fillId="2" borderId="24" xfId="0" applyFont="1" applyFill="1" applyBorder="1" applyAlignment="1" applyProtection="1">
      <alignment horizontal="center" vertical="center" wrapText="1"/>
    </xf>
    <xf numFmtId="0" fontId="0" fillId="17" borderId="2" xfId="0" applyFill="1" applyBorder="1" applyAlignment="1" applyProtection="1">
      <alignment horizontal="center" vertical="center" wrapText="1"/>
    </xf>
    <xf numFmtId="2" fontId="5" fillId="2" borderId="23" xfId="0" applyNumberFormat="1" applyFont="1" applyFill="1" applyBorder="1" applyAlignment="1" applyProtection="1">
      <alignment horizontal="center" vertical="center" wrapText="1"/>
    </xf>
    <xf numFmtId="2" fontId="4" fillId="2" borderId="23" xfId="0" applyNumberFormat="1" applyFont="1" applyFill="1" applyBorder="1" applyAlignment="1" applyProtection="1">
      <alignment horizontal="center" vertical="center" wrapText="1"/>
    </xf>
    <xf numFmtId="2" fontId="5" fillId="2" borderId="24" xfId="0" applyNumberFormat="1" applyFont="1" applyFill="1" applyBorder="1" applyAlignment="1" applyProtection="1">
      <alignment horizontal="center" vertical="center" wrapText="1"/>
    </xf>
    <xf numFmtId="2" fontId="4" fillId="2" borderId="24" xfId="0" applyNumberFormat="1" applyFont="1" applyFill="1" applyBorder="1" applyAlignment="1" applyProtection="1">
      <alignment horizontal="center" vertical="center" wrapText="1"/>
    </xf>
    <xf numFmtId="0" fontId="40" fillId="14" borderId="0" xfId="0" applyNumberFormat="1" applyFont="1" applyFill="1" applyBorder="1" applyAlignment="1" applyProtection="1">
      <alignment horizontal="center" vertical="center" wrapText="1"/>
    </xf>
    <xf numFmtId="0" fontId="4" fillId="14" borderId="26" xfId="0" applyNumberFormat="1" applyFont="1" applyFill="1" applyBorder="1" applyAlignment="1" applyProtection="1">
      <alignment horizontal="center" vertical="center"/>
      <protection locked="0"/>
    </xf>
    <xf numFmtId="0" fontId="4" fillId="14" borderId="25" xfId="0" applyNumberFormat="1" applyFont="1" applyFill="1" applyBorder="1" applyAlignment="1" applyProtection="1">
      <alignment horizontal="center" vertical="center"/>
      <protection locked="0"/>
    </xf>
    <xf numFmtId="0" fontId="5" fillId="0" borderId="29" xfId="0" applyFont="1" applyFill="1" applyBorder="1" applyAlignment="1" applyProtection="1">
      <alignment horizontal="center" vertical="center" wrapText="1"/>
      <protection locked="0"/>
    </xf>
    <xf numFmtId="0" fontId="5" fillId="17" borderId="29" xfId="0" applyFont="1" applyFill="1" applyBorder="1" applyAlignment="1" applyProtection="1">
      <alignment horizontal="center" vertical="center" wrapText="1"/>
    </xf>
    <xf numFmtId="2" fontId="0" fillId="17" borderId="30" xfId="0" applyNumberFormat="1" applyFill="1" applyBorder="1" applyAlignment="1" applyProtection="1">
      <alignment horizontal="center" vertical="center" wrapText="1"/>
    </xf>
    <xf numFmtId="0" fontId="5" fillId="18" borderId="29" xfId="0" applyFont="1" applyFill="1" applyBorder="1" applyAlignment="1" applyProtection="1">
      <alignment horizontal="center" vertical="center" wrapText="1"/>
    </xf>
    <xf numFmtId="0" fontId="5" fillId="18" borderId="27" xfId="0" applyFont="1" applyFill="1" applyBorder="1" applyAlignment="1" applyProtection="1">
      <alignment horizontal="center" vertical="center" wrapText="1"/>
    </xf>
    <xf numFmtId="0" fontId="5" fillId="18" borderId="28" xfId="0" applyFont="1" applyFill="1" applyBorder="1" applyAlignment="1" applyProtection="1">
      <alignment horizontal="center" vertical="center" wrapText="1"/>
    </xf>
    <xf numFmtId="0" fontId="5" fillId="18" borderId="1" xfId="0" applyFont="1" applyFill="1" applyBorder="1" applyAlignment="1" applyProtection="1">
      <alignment horizontal="center" vertical="center" wrapText="1"/>
    </xf>
    <xf numFmtId="0" fontId="5" fillId="18" borderId="11" xfId="0" applyFont="1" applyFill="1" applyBorder="1" applyAlignment="1" applyProtection="1">
      <alignment horizontal="center" vertical="center" wrapText="1"/>
    </xf>
    <xf numFmtId="0" fontId="5" fillId="18" borderId="13" xfId="0" applyFont="1" applyFill="1" applyBorder="1" applyAlignment="1" applyProtection="1">
      <alignment horizontal="center" vertical="center" wrapText="1"/>
    </xf>
    <xf numFmtId="0" fontId="5" fillId="17" borderId="29" xfId="0" applyFont="1" applyFill="1" applyBorder="1" applyAlignment="1" applyProtection="1">
      <alignment horizontal="center" vertical="center" wrapText="1"/>
    </xf>
    <xf numFmtId="0" fontId="5" fillId="17" borderId="28" xfId="0" applyFont="1" applyFill="1" applyBorder="1" applyAlignment="1" applyProtection="1">
      <alignment horizontal="center" vertical="center" wrapText="1"/>
    </xf>
    <xf numFmtId="0" fontId="5" fillId="18" borderId="23" xfId="0" applyFont="1" applyFill="1" applyBorder="1" applyAlignment="1" applyProtection="1">
      <alignment horizontal="center" vertical="center" wrapText="1"/>
    </xf>
    <xf numFmtId="0" fontId="5" fillId="18" borderId="25" xfId="0" applyFont="1" applyFill="1" applyBorder="1" applyAlignment="1" applyProtection="1">
      <alignment horizontal="center" vertical="center" wrapText="1"/>
    </xf>
    <xf numFmtId="0" fontId="5" fillId="18" borderId="24" xfId="0" applyFont="1" applyFill="1" applyBorder="1" applyAlignment="1" applyProtection="1">
      <alignment horizontal="center" vertical="center" wrapText="1"/>
    </xf>
    <xf numFmtId="1" fontId="6" fillId="0" borderId="6" xfId="10" applyNumberFormat="1" applyFont="1" applyFill="1" applyBorder="1" applyAlignment="1" applyProtection="1">
      <alignment horizontal="center" vertical="center" wrapText="1"/>
    </xf>
    <xf numFmtId="1" fontId="5" fillId="0" borderId="6" xfId="0" applyNumberFormat="1" applyFont="1" applyFill="1" applyBorder="1" applyAlignment="1" applyProtection="1">
      <alignment horizontal="center" vertical="center" wrapText="1"/>
    </xf>
    <xf numFmtId="2" fontId="5" fillId="3" borderId="16" xfId="0" applyNumberFormat="1" applyFont="1" applyFill="1" applyBorder="1" applyAlignment="1" applyProtection="1">
      <alignment horizontal="center" vertical="center" wrapText="1"/>
    </xf>
    <xf numFmtId="2" fontId="5" fillId="3" borderId="15" xfId="0" applyNumberFormat="1" applyFont="1" applyFill="1" applyBorder="1" applyAlignment="1" applyProtection="1">
      <alignment horizontal="center" vertical="center" wrapText="1"/>
    </xf>
    <xf numFmtId="0" fontId="5" fillId="3" borderId="21"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5" fillId="15" borderId="18" xfId="0" applyFont="1" applyFill="1" applyBorder="1" applyAlignment="1" applyProtection="1">
      <alignment horizontal="center" vertical="center" wrapText="1"/>
    </xf>
    <xf numFmtId="0" fontId="5" fillId="15" borderId="19" xfId="0" applyFont="1" applyFill="1" applyBorder="1" applyAlignment="1" applyProtection="1">
      <alignment horizontal="center" vertical="center" wrapText="1"/>
    </xf>
    <xf numFmtId="0" fontId="4" fillId="17" borderId="42" xfId="0" applyFont="1" applyFill="1" applyBorder="1" applyAlignment="1" applyProtection="1">
      <alignment horizontal="center" vertical="center" wrapText="1"/>
    </xf>
    <xf numFmtId="0" fontId="4" fillId="17" borderId="43" xfId="0" applyFont="1" applyFill="1" applyBorder="1" applyAlignment="1" applyProtection="1">
      <alignment horizontal="center" vertical="center" wrapText="1"/>
    </xf>
    <xf numFmtId="0" fontId="4" fillId="17" borderId="44" xfId="0" applyFont="1" applyFill="1" applyBorder="1" applyAlignment="1" applyProtection="1">
      <alignment horizontal="center" vertical="center" wrapText="1"/>
    </xf>
    <xf numFmtId="2" fontId="4" fillId="5" borderId="5" xfId="0" applyNumberFormat="1" applyFont="1" applyFill="1" applyBorder="1" applyAlignment="1" applyProtection="1">
      <alignment horizontal="center" vertical="center" wrapText="1"/>
    </xf>
    <xf numFmtId="2" fontId="4" fillId="5" borderId="10" xfId="0" applyNumberFormat="1" applyFont="1" applyFill="1" applyBorder="1" applyAlignment="1" applyProtection="1">
      <alignment horizontal="center" vertical="center" wrapText="1"/>
    </xf>
    <xf numFmtId="2" fontId="4" fillId="15" borderId="5" xfId="0" applyNumberFormat="1" applyFont="1" applyFill="1" applyBorder="1" applyAlignment="1" applyProtection="1">
      <alignment horizontal="center" vertical="center" wrapText="1"/>
    </xf>
    <xf numFmtId="2" fontId="4" fillId="15" borderId="10" xfId="0" applyNumberFormat="1" applyFont="1" applyFill="1" applyBorder="1" applyAlignment="1" applyProtection="1">
      <alignment horizontal="center" vertical="center" wrapText="1"/>
    </xf>
    <xf numFmtId="2" fontId="5" fillId="5" borderId="17" xfId="0" applyNumberFormat="1" applyFont="1" applyFill="1" applyBorder="1" applyAlignment="1" applyProtection="1">
      <alignment horizontal="center" vertical="center" wrapText="1"/>
    </xf>
    <xf numFmtId="2" fontId="5" fillId="5" borderId="15" xfId="0" applyNumberFormat="1" applyFont="1" applyFill="1" applyBorder="1" applyAlignment="1" applyProtection="1">
      <alignment horizontal="center" vertical="center" wrapText="1"/>
    </xf>
    <xf numFmtId="0" fontId="5" fillId="5" borderId="18" xfId="0" applyFont="1" applyFill="1" applyBorder="1" applyAlignment="1" applyProtection="1">
      <alignment horizontal="center" vertical="center" wrapText="1"/>
    </xf>
    <xf numFmtId="0" fontId="5" fillId="5" borderId="19" xfId="0" applyFont="1" applyFill="1" applyBorder="1" applyAlignment="1" applyProtection="1">
      <alignment horizontal="center" vertical="center" wrapText="1"/>
    </xf>
    <xf numFmtId="0" fontId="5" fillId="18" borderId="2" xfId="0" applyFont="1" applyFill="1" applyBorder="1" applyAlignment="1" applyProtection="1">
      <alignment horizontal="center" vertical="center" wrapText="1"/>
    </xf>
    <xf numFmtId="0" fontId="5" fillId="18" borderId="4" xfId="0" applyFont="1" applyFill="1" applyBorder="1" applyAlignment="1" applyProtection="1">
      <alignment horizontal="center" vertical="center" wrapText="1"/>
    </xf>
    <xf numFmtId="2" fontId="5" fillId="15" borderId="17" xfId="0" applyNumberFormat="1" applyFont="1" applyFill="1" applyBorder="1" applyAlignment="1" applyProtection="1">
      <alignment horizontal="center" vertical="center" wrapText="1"/>
    </xf>
    <xf numFmtId="0" fontId="4" fillId="15" borderId="15" xfId="0" applyFont="1" applyFill="1" applyBorder="1" applyAlignment="1" applyProtection="1">
      <alignment horizontal="center" vertical="center" wrapText="1"/>
    </xf>
    <xf numFmtId="1" fontId="7" fillId="5" borderId="2" xfId="0" applyNumberFormat="1" applyFont="1" applyFill="1" applyBorder="1" applyAlignment="1" applyProtection="1">
      <alignment horizontal="center" vertical="center" wrapText="1"/>
    </xf>
    <xf numFmtId="1" fontId="7" fillId="5" borderId="4" xfId="0" applyNumberFormat="1" applyFont="1" applyFill="1" applyBorder="1" applyAlignment="1" applyProtection="1">
      <alignment horizontal="center" vertical="center" wrapText="1"/>
    </xf>
    <xf numFmtId="1" fontId="7" fillId="4" borderId="2" xfId="0" applyNumberFormat="1" applyFont="1" applyFill="1" applyBorder="1" applyAlignment="1" applyProtection="1">
      <alignment horizontal="center" vertical="center" wrapText="1"/>
    </xf>
    <xf numFmtId="1" fontId="7" fillId="4" borderId="4" xfId="0" applyNumberFormat="1" applyFont="1" applyFill="1" applyBorder="1" applyAlignment="1" applyProtection="1">
      <alignment horizontal="center" vertical="center" wrapText="1"/>
    </xf>
    <xf numFmtId="0" fontId="8" fillId="0" borderId="0" xfId="0" applyFont="1" applyAlignment="1" applyProtection="1">
      <alignment horizontal="center" vertical="center" wrapText="1"/>
    </xf>
    <xf numFmtId="0" fontId="36" fillId="0" borderId="10" xfId="0" applyFont="1" applyBorder="1" applyAlignment="1" applyProtection="1">
      <alignment horizontal="center" vertical="center"/>
    </xf>
    <xf numFmtId="1" fontId="7" fillId="3" borderId="13" xfId="0" applyNumberFormat="1" applyFont="1" applyFill="1" applyBorder="1" applyAlignment="1" applyProtection="1">
      <alignment horizontal="center" vertical="center" wrapText="1"/>
    </xf>
    <xf numFmtId="1" fontId="7" fillId="3" borderId="4" xfId="0" applyNumberFormat="1" applyFont="1" applyFill="1" applyBorder="1" applyAlignment="1" applyProtection="1">
      <alignment horizontal="center" vertical="center" wrapText="1"/>
    </xf>
    <xf numFmtId="1" fontId="7" fillId="3" borderId="5" xfId="0" applyNumberFormat="1" applyFont="1" applyFill="1" applyBorder="1" applyAlignment="1" applyProtection="1">
      <alignment horizontal="center" vertical="center" wrapText="1"/>
    </xf>
    <xf numFmtId="1" fontId="6" fillId="0" borderId="16" xfId="10" applyNumberFormat="1" applyFont="1" applyFill="1" applyBorder="1" applyAlignment="1" applyProtection="1">
      <alignment horizontal="center" vertical="center" wrapText="1"/>
    </xf>
    <xf numFmtId="2" fontId="4" fillId="3" borderId="0" xfId="0" applyNumberFormat="1" applyFont="1" applyFill="1" applyBorder="1" applyAlignment="1" applyProtection="1">
      <alignment horizontal="center" vertical="center" wrapText="1"/>
    </xf>
    <xf numFmtId="2" fontId="4" fillId="3" borderId="10" xfId="0" applyNumberFormat="1" applyFont="1" applyFill="1" applyBorder="1" applyAlignment="1" applyProtection="1">
      <alignment horizontal="center" vertical="center" wrapText="1"/>
    </xf>
    <xf numFmtId="0" fontId="4" fillId="18" borderId="51" xfId="0" applyFont="1" applyFill="1" applyBorder="1" applyAlignment="1" applyProtection="1">
      <alignment horizontal="center" vertical="center" wrapText="1"/>
    </xf>
    <xf numFmtId="0" fontId="4" fillId="18" borderId="52" xfId="0" applyFont="1" applyFill="1" applyBorder="1" applyAlignment="1" applyProtection="1">
      <alignment horizontal="center" vertical="center" wrapText="1"/>
    </xf>
    <xf numFmtId="0" fontId="4" fillId="18" borderId="53" xfId="0" applyFont="1" applyFill="1" applyBorder="1" applyAlignment="1" applyProtection="1">
      <alignment horizontal="center" vertical="center" wrapText="1"/>
    </xf>
    <xf numFmtId="0" fontId="4" fillId="17" borderId="6" xfId="0" applyFont="1" applyFill="1" applyBorder="1" applyAlignment="1" applyProtection="1">
      <alignment horizontal="center" vertical="center" wrapText="1"/>
    </xf>
    <xf numFmtId="0" fontId="4" fillId="17" borderId="48" xfId="0" applyFont="1" applyFill="1" applyBorder="1" applyAlignment="1" applyProtection="1">
      <alignment horizontal="center" vertical="center" wrapText="1"/>
    </xf>
    <xf numFmtId="0" fontId="4" fillId="17" borderId="47" xfId="0" applyFont="1" applyFill="1" applyBorder="1" applyAlignment="1" applyProtection="1">
      <alignment horizontal="center" vertical="center" wrapText="1"/>
    </xf>
    <xf numFmtId="0" fontId="4" fillId="17" borderId="45" xfId="0" applyFont="1" applyFill="1" applyBorder="1" applyAlignment="1" applyProtection="1">
      <alignment horizontal="center" vertical="center" wrapText="1"/>
    </xf>
    <xf numFmtId="0" fontId="4" fillId="17" borderId="17" xfId="0" applyFont="1" applyFill="1" applyBorder="1" applyAlignment="1" applyProtection="1">
      <alignment horizontal="center" vertical="center" wrapText="1"/>
    </xf>
    <xf numFmtId="0" fontId="4" fillId="17" borderId="46" xfId="0" applyFont="1" applyFill="1" applyBorder="1" applyAlignment="1" applyProtection="1">
      <alignment horizontal="center" vertical="center" wrapText="1"/>
    </xf>
    <xf numFmtId="0" fontId="4" fillId="17" borderId="6" xfId="0" applyNumberFormat="1" applyFont="1" applyFill="1" applyBorder="1" applyAlignment="1" applyProtection="1">
      <alignment horizontal="center" vertical="center" wrapText="1"/>
    </xf>
    <xf numFmtId="0" fontId="4" fillId="17" borderId="48" xfId="0" applyNumberFormat="1" applyFont="1" applyFill="1" applyBorder="1" applyAlignment="1" applyProtection="1">
      <alignment horizontal="center" vertical="center" wrapText="1"/>
    </xf>
    <xf numFmtId="0" fontId="4" fillId="17" borderId="18" xfId="0" applyFont="1" applyFill="1" applyBorder="1" applyAlignment="1" applyProtection="1">
      <alignment horizontal="center" vertical="center" wrapText="1"/>
    </xf>
    <xf numFmtId="0" fontId="4" fillId="17" borderId="58" xfId="0" applyFont="1" applyFill="1" applyBorder="1" applyAlignment="1" applyProtection="1">
      <alignment horizontal="center" vertical="center" wrapText="1"/>
    </xf>
    <xf numFmtId="0" fontId="4" fillId="17" borderId="33" xfId="0" applyFont="1" applyFill="1" applyBorder="1" applyAlignment="1" applyProtection="1">
      <alignment horizontal="center" vertical="center" wrapText="1"/>
    </xf>
    <xf numFmtId="0" fontId="4" fillId="18" borderId="5" xfId="0" applyFont="1" applyFill="1" applyBorder="1" applyAlignment="1" applyProtection="1">
      <alignment horizontal="center" vertical="center" wrapText="1"/>
    </xf>
    <xf numFmtId="0" fontId="4" fillId="17" borderId="54" xfId="0" applyFont="1" applyFill="1" applyBorder="1" applyAlignment="1" applyProtection="1">
      <alignment horizontal="center" vertical="center" wrapText="1"/>
    </xf>
    <xf numFmtId="0" fontId="4" fillId="18" borderId="2" xfId="0" applyFont="1" applyFill="1" applyBorder="1" applyAlignment="1" applyProtection="1">
      <alignment horizontal="center" vertical="center" wrapText="1"/>
    </xf>
    <xf numFmtId="0" fontId="4" fillId="18" borderId="4" xfId="0" applyFont="1" applyFill="1" applyBorder="1" applyAlignment="1" applyProtection="1">
      <alignment horizontal="center" vertical="center" wrapText="1"/>
    </xf>
    <xf numFmtId="0" fontId="4" fillId="18" borderId="3" xfId="0" applyFont="1" applyFill="1" applyBorder="1" applyAlignment="1" applyProtection="1">
      <alignment horizontal="center" vertical="center" wrapText="1"/>
    </xf>
    <xf numFmtId="0" fontId="4" fillId="17" borderId="55" xfId="0" applyFont="1" applyFill="1" applyBorder="1" applyAlignment="1" applyProtection="1">
      <alignment horizontal="center" vertical="center" wrapText="1"/>
    </xf>
    <xf numFmtId="0" fontId="5" fillId="18" borderId="23" xfId="0" applyFont="1" applyFill="1" applyBorder="1" applyAlignment="1">
      <alignment horizontal="center" vertical="center" wrapText="1"/>
    </xf>
    <xf numFmtId="0" fontId="5" fillId="18" borderId="25" xfId="0" applyFont="1" applyFill="1" applyBorder="1" applyAlignment="1">
      <alignment horizontal="center" vertical="center" wrapText="1"/>
    </xf>
    <xf numFmtId="0" fontId="5" fillId="18" borderId="24" xfId="0" applyFont="1" applyFill="1" applyBorder="1" applyAlignment="1">
      <alignment horizontal="center" vertical="center" wrapText="1"/>
    </xf>
    <xf numFmtId="0" fontId="8" fillId="13" borderId="4" xfId="0" applyFont="1" applyFill="1" applyBorder="1" applyAlignment="1" applyProtection="1">
      <alignment horizontal="center" vertical="center"/>
    </xf>
    <xf numFmtId="0" fontId="8" fillId="13" borderId="3" xfId="0" applyFont="1" applyFill="1" applyBorder="1" applyAlignment="1" applyProtection="1">
      <alignment horizontal="center" vertical="center"/>
    </xf>
    <xf numFmtId="0" fontId="8" fillId="11" borderId="4" xfId="0" applyFont="1" applyFill="1" applyBorder="1" applyAlignment="1" applyProtection="1">
      <alignment horizontal="center" vertical="center"/>
    </xf>
    <xf numFmtId="0" fontId="8" fillId="11" borderId="3" xfId="0" applyFont="1" applyFill="1" applyBorder="1" applyAlignment="1" applyProtection="1">
      <alignment horizontal="center" vertical="center"/>
    </xf>
    <xf numFmtId="0" fontId="8" fillId="12" borderId="4" xfId="0" applyFont="1" applyFill="1" applyBorder="1" applyAlignment="1" applyProtection="1">
      <alignment horizontal="center" vertical="center"/>
    </xf>
    <xf numFmtId="0" fontId="8" fillId="12" borderId="3" xfId="0" applyFont="1" applyFill="1" applyBorder="1" applyAlignment="1" applyProtection="1">
      <alignment horizontal="center" vertical="center"/>
    </xf>
    <xf numFmtId="0" fontId="8" fillId="0" borderId="0" xfId="0" applyFont="1" applyAlignment="1" applyProtection="1">
      <alignment horizontal="center" vertical="center"/>
    </xf>
    <xf numFmtId="0" fontId="4" fillId="17" borderId="2" xfId="0" applyFont="1" applyFill="1" applyBorder="1" applyAlignment="1" applyProtection="1">
      <alignment horizontal="center" vertical="center" wrapText="1"/>
    </xf>
    <xf numFmtId="0" fontId="0" fillId="17" borderId="3" xfId="0" applyFill="1" applyBorder="1" applyAlignment="1" applyProtection="1">
      <alignment wrapText="1"/>
    </xf>
    <xf numFmtId="0" fontId="5" fillId="18" borderId="30" xfId="0" applyFont="1" applyFill="1" applyBorder="1" applyAlignment="1" applyProtection="1">
      <alignment horizontal="center" vertical="center" wrapText="1"/>
    </xf>
    <xf numFmtId="0" fontId="5" fillId="18" borderId="29" xfId="0" applyFont="1" applyFill="1" applyBorder="1" applyAlignment="1">
      <alignment horizontal="center" vertical="center" wrapText="1"/>
    </xf>
    <xf numFmtId="0" fontId="5" fillId="18" borderId="27" xfId="0" applyFont="1" applyFill="1" applyBorder="1" applyAlignment="1">
      <alignment horizontal="center" vertical="center" wrapText="1"/>
    </xf>
    <xf numFmtId="0" fontId="5" fillId="18" borderId="28" xfId="0" applyFont="1" applyFill="1" applyBorder="1" applyAlignment="1">
      <alignment horizontal="center" vertical="center" wrapText="1"/>
    </xf>
    <xf numFmtId="0" fontId="0" fillId="0" borderId="28" xfId="0" applyBorder="1" applyProtection="1"/>
    <xf numFmtId="0" fontId="5" fillId="17" borderId="23" xfId="0" applyFont="1" applyFill="1" applyBorder="1" applyAlignment="1" applyProtection="1">
      <alignment horizontal="center" vertical="center" wrapText="1"/>
    </xf>
    <xf numFmtId="0" fontId="5" fillId="17" borderId="24" xfId="0" applyFont="1" applyFill="1" applyBorder="1" applyAlignment="1" applyProtection="1">
      <alignment horizontal="center" vertical="center" wrapText="1"/>
    </xf>
    <xf numFmtId="0" fontId="26" fillId="19" borderId="29" xfId="0" applyFont="1" applyFill="1" applyBorder="1" applyAlignment="1" applyProtection="1">
      <alignment horizontal="center" vertical="center" wrapText="1"/>
    </xf>
    <xf numFmtId="0" fontId="26" fillId="19" borderId="27" xfId="0" applyFont="1" applyFill="1" applyBorder="1" applyAlignment="1" applyProtection="1">
      <alignment horizontal="center" vertical="center" wrapText="1"/>
    </xf>
    <xf numFmtId="0" fontId="26" fillId="19" borderId="28" xfId="0" applyFont="1" applyFill="1" applyBorder="1" applyAlignment="1" applyProtection="1">
      <alignment horizontal="center" vertical="center" wrapText="1"/>
    </xf>
    <xf numFmtId="0" fontId="0" fillId="0" borderId="27" xfId="0" applyBorder="1" applyProtection="1"/>
    <xf numFmtId="0" fontId="26" fillId="17" borderId="26" xfId="0" applyFont="1" applyFill="1" applyBorder="1" applyAlignment="1" applyProtection="1">
      <alignment horizontal="center" vertical="center" wrapText="1"/>
    </xf>
    <xf numFmtId="0" fontId="26" fillId="17" borderId="28" xfId="0" applyFont="1" applyFill="1" applyBorder="1" applyAlignment="1" applyProtection="1">
      <alignment horizontal="center" vertical="center" wrapText="1"/>
    </xf>
    <xf numFmtId="0" fontId="5" fillId="17" borderId="26" xfId="0" applyFont="1" applyFill="1" applyBorder="1" applyAlignment="1" applyProtection="1">
      <alignment horizontal="center" vertical="center" wrapText="1"/>
    </xf>
    <xf numFmtId="0" fontId="25" fillId="18" borderId="41" xfId="0" applyFont="1" applyFill="1" applyBorder="1" applyAlignment="1">
      <alignment horizontal="center" vertical="center" wrapText="1"/>
    </xf>
    <xf numFmtId="0" fontId="25" fillId="18" borderId="41" xfId="0" applyFont="1" applyFill="1" applyBorder="1"/>
    <xf numFmtId="0" fontId="25" fillId="17" borderId="41" xfId="0" applyFont="1" applyFill="1" applyBorder="1" applyAlignment="1" applyProtection="1">
      <alignment horizontal="center" vertical="center" wrapText="1"/>
    </xf>
    <xf numFmtId="2" fontId="25" fillId="17" borderId="41" xfId="0" applyNumberFormat="1" applyFont="1" applyFill="1" applyBorder="1" applyAlignment="1">
      <alignment horizontal="center" vertical="center" wrapText="1"/>
    </xf>
    <xf numFmtId="0" fontId="0" fillId="17" borderId="23" xfId="0" applyFill="1" applyBorder="1" applyAlignment="1">
      <alignment horizontal="center" vertical="center" wrapText="1"/>
    </xf>
    <xf numFmtId="0" fontId="0" fillId="17" borderId="24" xfId="0" applyFill="1" applyBorder="1" applyAlignment="1">
      <alignment horizontal="center" vertical="center" wrapText="1"/>
    </xf>
    <xf numFmtId="0" fontId="4" fillId="17" borderId="23" xfId="0" applyFont="1" applyFill="1" applyBorder="1" applyAlignment="1">
      <alignment horizontal="center" vertical="center" wrapText="1"/>
    </xf>
    <xf numFmtId="0" fontId="4" fillId="17" borderId="24" xfId="0" applyFont="1" applyFill="1" applyBorder="1" applyAlignment="1">
      <alignment horizontal="center" vertical="center" wrapText="1"/>
    </xf>
  </cellXfs>
  <cellStyles count="15">
    <cellStyle name="Estilo 1" xfId="11"/>
    <cellStyle name="Estilo 2" xfId="12"/>
    <cellStyle name="Normal" xfId="0" builtinId="0"/>
    <cellStyle name="Normal 10" xfId="13"/>
    <cellStyle name="Normal 11" xfId="7"/>
    <cellStyle name="Normal 12" xfId="8"/>
    <cellStyle name="Normal 13" xfId="9"/>
    <cellStyle name="Normal 2" xfId="10"/>
    <cellStyle name="Normal 3" xfId="1"/>
    <cellStyle name="Normal 4" xfId="2"/>
    <cellStyle name="Normal 5" xfId="3"/>
    <cellStyle name="Normal 6" xfId="4"/>
    <cellStyle name="Normal 7" xfId="5"/>
    <cellStyle name="Normal 8" xfId="14"/>
    <cellStyle name="Normal 9" xfId="6"/>
  </cellStyles>
  <dxfs count="62">
    <dxf>
      <font>
        <b/>
        <i val="0"/>
      </font>
      <fill>
        <patternFill>
          <bgColor theme="0" tint="-0.14996795556505021"/>
        </patternFill>
      </fill>
    </dxf>
    <dxf>
      <font>
        <color theme="0" tint="-0.14996795556505021"/>
      </font>
      <fill>
        <patternFill>
          <bgColor theme="0" tint="-0.14996795556505021"/>
        </patternFill>
      </fill>
    </dxf>
    <dxf>
      <fill>
        <patternFill>
          <bgColor rgb="FF00B050"/>
        </patternFill>
      </fill>
    </dxf>
    <dxf>
      <fill>
        <patternFill>
          <bgColor rgb="FF92D050"/>
        </patternFill>
      </fill>
    </dxf>
    <dxf>
      <fill>
        <patternFill>
          <bgColor rgb="FFFFFF00"/>
        </patternFill>
      </fill>
    </dxf>
    <dxf>
      <fill>
        <patternFill>
          <bgColor rgb="FFFFC000"/>
        </patternFill>
      </fill>
    </dxf>
    <dxf>
      <fill>
        <patternFill>
          <bgColor rgb="FFFF0000"/>
        </patternFill>
      </fill>
    </dxf>
    <dxf>
      <font>
        <color theme="0" tint="-0.14996795556505021"/>
      </font>
      <fill>
        <patternFill>
          <bgColor theme="0" tint="-0.14996795556505021"/>
        </patternFill>
      </fill>
    </dxf>
    <dxf>
      <fill>
        <patternFill>
          <bgColor rgb="FF00B050"/>
        </patternFill>
      </fill>
    </dxf>
    <dxf>
      <fill>
        <patternFill>
          <bgColor rgb="FF92D050"/>
        </patternFill>
      </fill>
    </dxf>
    <dxf>
      <fill>
        <patternFill>
          <bgColor rgb="FFFFFF00"/>
        </patternFill>
      </fill>
    </dxf>
    <dxf>
      <fill>
        <patternFill>
          <bgColor rgb="FFFFC000"/>
        </patternFill>
      </fill>
    </dxf>
    <dxf>
      <fill>
        <patternFill>
          <bgColor rgb="FFFF0000"/>
        </patternFill>
      </fill>
    </dxf>
    <dxf>
      <font>
        <b/>
        <i val="0"/>
      </font>
      <fill>
        <patternFill>
          <bgColor rgb="FFFF0000"/>
        </patternFill>
      </fill>
    </dxf>
    <dxf>
      <font>
        <b/>
        <i val="0"/>
      </font>
      <fill>
        <patternFill>
          <bgColor rgb="FF00B050"/>
        </patternFill>
      </fill>
    </dxf>
    <dxf>
      <font>
        <b/>
        <i val="0"/>
      </font>
      <fill>
        <patternFill>
          <bgColor rgb="FF92D050"/>
        </patternFill>
      </fill>
    </dxf>
    <dxf>
      <font>
        <b/>
        <i val="0"/>
      </font>
      <fill>
        <patternFill>
          <bgColor rgb="FFFFFF00"/>
        </patternFill>
      </fill>
    </dxf>
    <dxf>
      <font>
        <b/>
        <i val="0"/>
      </font>
      <fill>
        <patternFill>
          <bgColor rgb="FFFFC000"/>
        </patternFill>
      </fill>
    </dxf>
    <dxf>
      <font>
        <color theme="0" tint="-0.14996795556505021"/>
      </font>
      <fill>
        <patternFill>
          <bgColor theme="0" tint="-0.14996795556505021"/>
        </patternFill>
      </fill>
    </dxf>
    <dxf>
      <font>
        <b/>
        <i val="0"/>
      </font>
      <fill>
        <patternFill>
          <bgColor theme="0" tint="-0.14996795556505021"/>
        </patternFill>
      </fill>
    </dxf>
    <dxf>
      <fill>
        <patternFill>
          <bgColor rgb="FF00B050"/>
        </patternFill>
      </fill>
    </dxf>
    <dxf>
      <fill>
        <patternFill>
          <bgColor rgb="FF92D050"/>
        </patternFill>
      </fill>
    </dxf>
    <dxf>
      <fill>
        <patternFill>
          <bgColor rgb="FFFFFF00"/>
        </patternFill>
      </fill>
    </dxf>
    <dxf>
      <fill>
        <patternFill>
          <bgColor rgb="FFFFC000"/>
        </patternFill>
      </fill>
    </dxf>
    <dxf>
      <fill>
        <patternFill>
          <bgColor rgb="FFFF0000"/>
        </patternFill>
      </fill>
    </dxf>
    <dxf>
      <font>
        <b/>
        <i val="0"/>
      </font>
      <fill>
        <patternFill>
          <bgColor theme="0" tint="-0.14996795556505021"/>
        </patternFill>
      </fill>
    </dxf>
    <dxf>
      <font>
        <color theme="0" tint="-0.14996795556505021"/>
      </font>
      <fill>
        <patternFill>
          <bgColor theme="0" tint="-0.14996795556505021"/>
        </patternFill>
      </fill>
    </dxf>
    <dxf>
      <font>
        <b/>
        <i val="0"/>
      </font>
      <fill>
        <patternFill>
          <bgColor theme="0" tint="-0.14996795556505021"/>
        </patternFill>
      </fill>
    </dxf>
    <dxf>
      <fill>
        <patternFill>
          <bgColor rgb="FF00B05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00B050"/>
        </patternFill>
      </fill>
    </dxf>
    <dxf>
      <font>
        <color theme="0" tint="-0.14996795556505021"/>
      </font>
      <fill>
        <patternFill>
          <bgColor theme="0" tint="-0.14996795556505021"/>
        </patternFill>
      </fill>
    </dxf>
    <dxf>
      <font>
        <b/>
        <i val="0"/>
      </font>
      <fill>
        <patternFill patternType="solid">
          <bgColor theme="0" tint="-0.14996795556505021"/>
        </patternFill>
      </fill>
    </dxf>
    <dxf>
      <font>
        <color auto="1"/>
      </font>
      <fill>
        <patternFill>
          <bgColor rgb="FF00B050"/>
        </patternFill>
      </fill>
    </dxf>
    <dxf>
      <fill>
        <patternFill>
          <bgColor rgb="FF92D050"/>
        </patternFill>
      </fill>
    </dxf>
    <dxf>
      <fill>
        <patternFill>
          <bgColor rgb="FFFFFF00"/>
        </patternFill>
      </fill>
    </dxf>
    <dxf>
      <fill>
        <patternFill>
          <bgColor rgb="FFFFC000"/>
        </patternFill>
      </fill>
    </dxf>
    <dxf>
      <fill>
        <patternFill>
          <bgColor rgb="FFFF0000"/>
        </patternFill>
      </fill>
    </dxf>
    <dxf>
      <font>
        <b/>
        <i val="0"/>
      </font>
      <fill>
        <patternFill patternType="solid">
          <bgColor theme="8" tint="0.79998168889431442"/>
        </patternFill>
      </fill>
    </dxf>
    <dxf>
      <font>
        <color theme="0" tint="-0.14996795556505021"/>
      </font>
      <fill>
        <patternFill>
          <bgColor theme="0" tint="-0.14996795556505021"/>
        </patternFill>
      </fill>
    </dxf>
    <dxf>
      <font>
        <b/>
        <i val="0"/>
        <strike/>
        <color rgb="FFFF0000"/>
      </font>
    </dxf>
    <dxf>
      <font>
        <b/>
        <i val="0"/>
        <strike/>
        <u val="none"/>
        <color rgb="FFFF0000"/>
      </font>
      <fill>
        <patternFill>
          <bgColor theme="0" tint="-4.9989318521683403E-2"/>
        </patternFill>
      </fill>
    </dxf>
    <dxf>
      <font>
        <color theme="0" tint="-0.14996795556505021"/>
      </font>
      <fill>
        <patternFill>
          <bgColor theme="0" tint="-0.14996795556505021"/>
        </patternFill>
      </fill>
    </dxf>
    <dxf>
      <font>
        <b/>
        <i val="0"/>
      </font>
      <fill>
        <patternFill>
          <bgColor theme="0" tint="-0.14996795556505021"/>
        </patternFill>
      </fill>
    </dxf>
    <dxf>
      <fill>
        <patternFill>
          <bgColor rgb="FF00B05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92D050"/>
        </patternFill>
      </fill>
    </dxf>
    <dxf>
      <fill>
        <patternFill>
          <bgColor rgb="FFFFFF00"/>
        </patternFill>
      </fill>
    </dxf>
    <dxf>
      <fill>
        <patternFill>
          <bgColor rgb="FFFFC000"/>
        </patternFill>
      </fill>
    </dxf>
    <dxf>
      <fill>
        <patternFill>
          <bgColor rgb="FFFF0000"/>
        </patternFill>
      </fill>
    </dxf>
    <dxf>
      <font>
        <color auto="1"/>
      </font>
      <fill>
        <patternFill>
          <bgColor rgb="FF00B050"/>
        </patternFill>
      </fill>
    </dxf>
    <dxf>
      <fill>
        <patternFill>
          <bgColor rgb="FF92D050"/>
        </patternFill>
      </fill>
    </dxf>
    <dxf>
      <fill>
        <patternFill>
          <bgColor rgb="FFFFFF00"/>
        </patternFill>
      </fill>
    </dxf>
    <dxf>
      <fill>
        <patternFill>
          <bgColor rgb="FFFFC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1314450</xdr:colOff>
      <xdr:row>3</xdr:row>
      <xdr:rowOff>14278</xdr:rowOff>
    </xdr:to>
    <xdr:pic>
      <xdr:nvPicPr>
        <xdr:cNvPr id="5" name="Picture 254"/>
        <xdr:cNvPicPr>
          <a:picLocks noChangeAspect="1" noChangeArrowheads="1"/>
        </xdr:cNvPicPr>
      </xdr:nvPicPr>
      <xdr:blipFill>
        <a:blip xmlns:r="http://schemas.openxmlformats.org/officeDocument/2006/relationships" r:embed="rId1" cstate="print"/>
        <a:srcRect/>
        <a:stretch>
          <a:fillRect/>
        </a:stretch>
      </xdr:blipFill>
      <xdr:spPr bwMode="auto">
        <a:xfrm>
          <a:off x="717176" y="246529"/>
          <a:ext cx="4743450" cy="507337"/>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5</xdr:col>
          <xdr:colOff>171450</xdr:colOff>
          <xdr:row>9</xdr:row>
          <xdr:rowOff>19050</xdr:rowOff>
        </xdr:from>
        <xdr:to>
          <xdr:col>5</xdr:col>
          <xdr:colOff>1181100</xdr:colOff>
          <xdr:row>9</xdr:row>
          <xdr:rowOff>619125</xdr:rowOff>
        </xdr:to>
        <xdr:sp macro="" textlink="">
          <xdr:nvSpPr>
            <xdr:cNvPr id="2142" name="Button 94" hidden="1">
              <a:extLst>
                <a:ext uri="{63B3BB69-23CF-44E3-9099-C40C66FF867C}">
                  <a14:compatExt spid="_x0000_s214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Arial"/>
                  <a:cs typeface="Arial"/>
                </a:rPr>
                <a:t>&lt; LIMPAR</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xdr:from>
          <xdr:col>5</xdr:col>
          <xdr:colOff>85725</xdr:colOff>
          <xdr:row>10</xdr:row>
          <xdr:rowOff>57150</xdr:rowOff>
        </xdr:from>
        <xdr:to>
          <xdr:col>5</xdr:col>
          <xdr:colOff>1219200</xdr:colOff>
          <xdr:row>10</xdr:row>
          <xdr:rowOff>323850</xdr:rowOff>
        </xdr:to>
        <xdr:sp macro="" textlink="">
          <xdr:nvSpPr>
            <xdr:cNvPr id="2145" name="Button 97" hidden="1">
              <a:extLst>
                <a:ext uri="{63B3BB69-23CF-44E3-9099-C40C66FF867C}">
                  <a14:compatExt spid="_x0000_s214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Arial"/>
                  <a:cs typeface="Arial"/>
                </a:rPr>
                <a:t>&lt; COPIAR &gt;</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xdr:from>
          <xdr:col>5</xdr:col>
          <xdr:colOff>85725</xdr:colOff>
          <xdr:row>10</xdr:row>
          <xdr:rowOff>409575</xdr:rowOff>
        </xdr:from>
        <xdr:to>
          <xdr:col>5</xdr:col>
          <xdr:colOff>1219200</xdr:colOff>
          <xdr:row>11</xdr:row>
          <xdr:rowOff>161925</xdr:rowOff>
        </xdr:to>
        <xdr:sp macro="" textlink="">
          <xdr:nvSpPr>
            <xdr:cNvPr id="2176" name="Button 128" hidden="1">
              <a:extLst>
                <a:ext uri="{63B3BB69-23CF-44E3-9099-C40C66FF867C}">
                  <a14:compatExt spid="_x0000_s217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Arial"/>
                  <a:cs typeface="Arial"/>
                </a:rPr>
                <a:t>APAGAR &gt;</a:t>
              </a:r>
            </a:p>
          </xdr:txBody>
        </xdr:sp>
        <xdr:clientData fLocksWithSheet="0"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899832</xdr:colOff>
      <xdr:row>3</xdr:row>
      <xdr:rowOff>14278</xdr:rowOff>
    </xdr:to>
    <xdr:pic>
      <xdr:nvPicPr>
        <xdr:cNvPr id="4" name="Picture 254"/>
        <xdr:cNvPicPr>
          <a:picLocks noChangeAspect="1" noChangeArrowheads="1"/>
        </xdr:cNvPicPr>
      </xdr:nvPicPr>
      <xdr:blipFill>
        <a:blip xmlns:r="http://schemas.openxmlformats.org/officeDocument/2006/relationships" r:embed="rId1" cstate="print"/>
        <a:srcRect/>
        <a:stretch>
          <a:fillRect/>
        </a:stretch>
      </xdr:blipFill>
      <xdr:spPr bwMode="auto">
        <a:xfrm>
          <a:off x="717176" y="156882"/>
          <a:ext cx="4743450" cy="507337"/>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58</xdr:col>
          <xdr:colOff>180975</xdr:colOff>
          <xdr:row>13</xdr:row>
          <xdr:rowOff>142875</xdr:rowOff>
        </xdr:from>
        <xdr:to>
          <xdr:col>58</xdr:col>
          <xdr:colOff>1190625</xdr:colOff>
          <xdr:row>16</xdr:row>
          <xdr:rowOff>9525</xdr:rowOff>
        </xdr:to>
        <xdr:sp macro="" textlink="">
          <xdr:nvSpPr>
            <xdr:cNvPr id="6145" name="Button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Arial"/>
                  <a:cs typeface="Arial"/>
                </a:rPr>
                <a:t>&lt; COPIAR &gt;</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xdr:from>
          <xdr:col>58</xdr:col>
          <xdr:colOff>180975</xdr:colOff>
          <xdr:row>16</xdr:row>
          <xdr:rowOff>104775</xdr:rowOff>
        </xdr:from>
        <xdr:to>
          <xdr:col>58</xdr:col>
          <xdr:colOff>1190625</xdr:colOff>
          <xdr:row>18</xdr:row>
          <xdr:rowOff>133350</xdr:rowOff>
        </xdr:to>
        <xdr:sp macro="" textlink="">
          <xdr:nvSpPr>
            <xdr:cNvPr id="6146" name="Button 2" hidden="1">
              <a:extLst>
                <a:ext uri="{63B3BB69-23CF-44E3-9099-C40C66FF867C}">
                  <a14:compatExt spid="_x0000_s614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Arial"/>
                  <a:cs typeface="Arial"/>
                </a:rPr>
                <a:t>APAGAR &gt;</a:t>
              </a:r>
            </a:p>
          </xdr:txBody>
        </xdr:sp>
        <xdr:clientData fLocksWithSheet="0"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1314450</xdr:colOff>
      <xdr:row>3</xdr:row>
      <xdr:rowOff>14278</xdr:rowOff>
    </xdr:to>
    <xdr:pic>
      <xdr:nvPicPr>
        <xdr:cNvPr id="3" name="Picture 254"/>
        <xdr:cNvPicPr>
          <a:picLocks noChangeAspect="1" noChangeArrowheads="1"/>
        </xdr:cNvPicPr>
      </xdr:nvPicPr>
      <xdr:blipFill>
        <a:blip xmlns:r="http://schemas.openxmlformats.org/officeDocument/2006/relationships" r:embed="rId1" cstate="print"/>
        <a:srcRect/>
        <a:stretch>
          <a:fillRect/>
        </a:stretch>
      </xdr:blipFill>
      <xdr:spPr bwMode="auto">
        <a:xfrm>
          <a:off x="717176" y="246529"/>
          <a:ext cx="4743450" cy="507337"/>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1314450</xdr:colOff>
      <xdr:row>3</xdr:row>
      <xdr:rowOff>14278</xdr:rowOff>
    </xdr:to>
    <xdr:pic>
      <xdr:nvPicPr>
        <xdr:cNvPr id="3" name="Picture 254"/>
        <xdr:cNvPicPr>
          <a:picLocks noChangeAspect="1" noChangeArrowheads="1"/>
        </xdr:cNvPicPr>
      </xdr:nvPicPr>
      <xdr:blipFill>
        <a:blip xmlns:r="http://schemas.openxmlformats.org/officeDocument/2006/relationships" r:embed="rId1" cstate="print"/>
        <a:srcRect/>
        <a:stretch>
          <a:fillRect/>
        </a:stretch>
      </xdr:blipFill>
      <xdr:spPr bwMode="auto">
        <a:xfrm>
          <a:off x="717176" y="246529"/>
          <a:ext cx="4743450" cy="507337"/>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1314450</xdr:colOff>
      <xdr:row>3</xdr:row>
      <xdr:rowOff>14278</xdr:rowOff>
    </xdr:to>
    <xdr:pic>
      <xdr:nvPicPr>
        <xdr:cNvPr id="3" name="Picture 254"/>
        <xdr:cNvPicPr>
          <a:picLocks noChangeAspect="1" noChangeArrowheads="1"/>
        </xdr:cNvPicPr>
      </xdr:nvPicPr>
      <xdr:blipFill>
        <a:blip xmlns:r="http://schemas.openxmlformats.org/officeDocument/2006/relationships" r:embed="rId1" cstate="print"/>
        <a:srcRect/>
        <a:stretch>
          <a:fillRect/>
        </a:stretch>
      </xdr:blipFill>
      <xdr:spPr bwMode="auto">
        <a:xfrm>
          <a:off x="717176" y="246529"/>
          <a:ext cx="4743450" cy="507337"/>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1314450</xdr:colOff>
      <xdr:row>3</xdr:row>
      <xdr:rowOff>14278</xdr:rowOff>
    </xdr:to>
    <xdr:pic>
      <xdr:nvPicPr>
        <xdr:cNvPr id="4" name="Picture 254"/>
        <xdr:cNvPicPr>
          <a:picLocks noChangeAspect="1" noChangeArrowheads="1"/>
        </xdr:cNvPicPr>
      </xdr:nvPicPr>
      <xdr:blipFill>
        <a:blip xmlns:r="http://schemas.openxmlformats.org/officeDocument/2006/relationships" r:embed="rId1" cstate="print"/>
        <a:srcRect/>
        <a:stretch>
          <a:fillRect/>
        </a:stretch>
      </xdr:blipFill>
      <xdr:spPr bwMode="auto">
        <a:xfrm>
          <a:off x="717176" y="246529"/>
          <a:ext cx="4743450" cy="507337"/>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duarda\Desktop\antigas\Bombas%20de%20Calor%20e%20Aquecimento%20de%20&#193;gua%20GUSTA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mbas de Calor Aquecimento H2O"/>
      <sheetName val="Plan2"/>
    </sheetNames>
    <sheetDataSet>
      <sheetData sheetId="0"/>
      <sheetData sheetId="1">
        <row r="4">
          <cell r="C4" t="str">
            <v>Boiler A ou B segundo o PBE</v>
          </cell>
        </row>
        <row r="5">
          <cell r="C5" t="str">
            <v>Boiler C, D ou E segundo o PBE</v>
          </cell>
        </row>
        <row r="6">
          <cell r="C6" t="str">
            <v>Caldeira a Óleo</v>
          </cell>
        </row>
      </sheetData>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2.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dimension ref="A1:H145"/>
  <sheetViews>
    <sheetView showGridLines="0" tabSelected="1" zoomScale="85" zoomScaleNormal="85" workbookViewId="0">
      <selection activeCell="E107" sqref="E107"/>
    </sheetView>
  </sheetViews>
  <sheetFormatPr defaultColWidth="9.140625" defaultRowHeight="12.75" x14ac:dyDescent="0.2"/>
  <cols>
    <col min="1" max="1" width="10.7109375" style="55" customWidth="1"/>
    <col min="2" max="3" width="25.7109375" style="55" customWidth="1"/>
    <col min="4" max="5" width="25.7109375" style="67" customWidth="1"/>
    <col min="6" max="6" width="18.85546875" style="68" customWidth="1"/>
    <col min="7" max="16384" width="9.140625" style="55"/>
  </cols>
  <sheetData>
    <row r="1" spans="1:6" ht="20.100000000000001" customHeight="1" x14ac:dyDescent="0.2">
      <c r="A1" s="53"/>
      <c r="B1" s="52"/>
      <c r="C1" s="52"/>
      <c r="D1" s="53"/>
      <c r="E1" s="53"/>
      <c r="F1" s="54"/>
    </row>
    <row r="2" spans="1:6" ht="20.100000000000001" customHeight="1" x14ac:dyDescent="0.2">
      <c r="A2" s="56"/>
    </row>
    <row r="3" spans="1:6" ht="20.100000000000001" customHeight="1" x14ac:dyDescent="0.2">
      <c r="A3" s="56"/>
    </row>
    <row r="4" spans="1:6" ht="20.100000000000001" customHeight="1" x14ac:dyDescent="0.2">
      <c r="A4" s="56"/>
    </row>
    <row r="5" spans="1:6" ht="20.100000000000001" customHeight="1" x14ac:dyDescent="0.2">
      <c r="A5" s="56"/>
      <c r="C5" s="169"/>
      <c r="D5" s="169"/>
      <c r="E5" s="169"/>
    </row>
    <row r="6" spans="1:6" ht="20.100000000000001" customHeight="1" x14ac:dyDescent="0.2">
      <c r="A6" s="52"/>
      <c r="B6" s="371" t="s">
        <v>266</v>
      </c>
      <c r="C6" s="371"/>
      <c r="D6" s="371"/>
      <c r="E6" s="165"/>
    </row>
    <row r="7" spans="1:6" ht="20.100000000000001" customHeight="1" x14ac:dyDescent="0.2">
      <c r="A7" s="52"/>
      <c r="B7" s="371"/>
      <c r="C7" s="371"/>
      <c r="D7" s="371"/>
      <c r="E7" s="169"/>
    </row>
    <row r="8" spans="1:6" ht="20.100000000000001" customHeight="1" x14ac:dyDescent="0.2">
      <c r="A8" s="52"/>
    </row>
    <row r="9" spans="1:6" ht="13.5" thickBot="1" x14ac:dyDescent="0.25">
      <c r="A9" s="52"/>
      <c r="B9" s="372" t="s">
        <v>271</v>
      </c>
      <c r="C9" s="372"/>
    </row>
    <row r="10" spans="1:6" ht="51.75" thickBot="1" x14ac:dyDescent="0.25">
      <c r="A10" s="52"/>
      <c r="B10" s="166" t="s">
        <v>35</v>
      </c>
      <c r="C10" s="81" t="s">
        <v>29</v>
      </c>
      <c r="D10" s="315" t="s">
        <v>211</v>
      </c>
      <c r="E10" s="141" t="s">
        <v>2</v>
      </c>
      <c r="F10" s="54"/>
    </row>
    <row r="11" spans="1:6" ht="48" customHeight="1" x14ac:dyDescent="0.2">
      <c r="A11" s="52"/>
      <c r="B11" s="333" t="s">
        <v>1</v>
      </c>
      <c r="C11" s="101" t="s">
        <v>60</v>
      </c>
      <c r="D11" s="80" t="s">
        <v>57</v>
      </c>
      <c r="E11" s="172"/>
      <c r="F11" s="57"/>
    </row>
    <row r="12" spans="1:6" ht="13.5" thickBot="1" x14ac:dyDescent="0.25">
      <c r="A12" s="52"/>
      <c r="B12" s="335"/>
      <c r="C12" s="102" t="s">
        <v>265</v>
      </c>
      <c r="D12" s="84" t="s">
        <v>37</v>
      </c>
      <c r="E12" s="107"/>
      <c r="F12" s="58"/>
    </row>
    <row r="13" spans="1:6" x14ac:dyDescent="0.2">
      <c r="A13" s="52"/>
      <c r="B13" s="341" t="s">
        <v>4</v>
      </c>
      <c r="C13" s="103" t="s">
        <v>0</v>
      </c>
      <c r="D13" s="85" t="s">
        <v>57</v>
      </c>
      <c r="E13" s="111"/>
      <c r="F13" s="58"/>
    </row>
    <row r="14" spans="1:6" x14ac:dyDescent="0.2">
      <c r="A14" s="52"/>
      <c r="B14" s="342"/>
      <c r="C14" s="104" t="s">
        <v>279</v>
      </c>
      <c r="D14" s="83" t="s">
        <v>57</v>
      </c>
      <c r="E14" s="110"/>
      <c r="F14" s="58"/>
    </row>
    <row r="15" spans="1:6" ht="13.5" thickBot="1" x14ac:dyDescent="0.25">
      <c r="A15" s="52"/>
      <c r="B15" s="343"/>
      <c r="C15" s="102" t="s">
        <v>280</v>
      </c>
      <c r="D15" s="84" t="s">
        <v>57</v>
      </c>
      <c r="E15" s="112"/>
      <c r="F15" s="58"/>
    </row>
    <row r="16" spans="1:6" x14ac:dyDescent="0.2">
      <c r="A16" s="52"/>
      <c r="B16" s="341" t="s">
        <v>0</v>
      </c>
      <c r="C16" s="103" t="s">
        <v>44</v>
      </c>
      <c r="D16" s="85" t="s">
        <v>38</v>
      </c>
      <c r="E16" s="108"/>
      <c r="F16" s="58"/>
    </row>
    <row r="17" spans="1:6" x14ac:dyDescent="0.2">
      <c r="A17" s="52"/>
      <c r="B17" s="342"/>
      <c r="C17" s="104" t="s">
        <v>56</v>
      </c>
      <c r="D17" s="83" t="s">
        <v>39</v>
      </c>
      <c r="E17" s="109"/>
      <c r="F17" s="58"/>
    </row>
    <row r="18" spans="1:6" ht="13.5" thickBot="1" x14ac:dyDescent="0.25">
      <c r="A18" s="52"/>
      <c r="B18" s="343"/>
      <c r="C18" s="102" t="s">
        <v>45</v>
      </c>
      <c r="D18" s="84" t="s">
        <v>57</v>
      </c>
      <c r="E18" s="109"/>
      <c r="F18" s="58"/>
    </row>
    <row r="19" spans="1:6" x14ac:dyDescent="0.2">
      <c r="A19" s="52"/>
      <c r="B19" s="341" t="s">
        <v>52</v>
      </c>
      <c r="C19" s="103" t="s">
        <v>46</v>
      </c>
      <c r="D19" s="85" t="s">
        <v>38</v>
      </c>
      <c r="E19" s="108"/>
      <c r="F19" s="58"/>
    </row>
    <row r="20" spans="1:6" x14ac:dyDescent="0.2">
      <c r="A20" s="52"/>
      <c r="B20" s="342"/>
      <c r="C20" s="104" t="s">
        <v>58</v>
      </c>
      <c r="D20" s="83" t="s">
        <v>39</v>
      </c>
      <c r="E20" s="109"/>
      <c r="F20" s="58"/>
    </row>
    <row r="21" spans="1:6" ht="13.5" thickBot="1" x14ac:dyDescent="0.25">
      <c r="A21" s="52"/>
      <c r="B21" s="343"/>
      <c r="C21" s="102" t="s">
        <v>47</v>
      </c>
      <c r="D21" s="84" t="s">
        <v>57</v>
      </c>
      <c r="E21" s="109"/>
      <c r="F21" s="58"/>
    </row>
    <row r="22" spans="1:6" x14ac:dyDescent="0.2">
      <c r="A22" s="52"/>
      <c r="B22" s="341" t="s">
        <v>5</v>
      </c>
      <c r="C22" s="323" t="s">
        <v>48</v>
      </c>
      <c r="D22" s="324" t="s">
        <v>59</v>
      </c>
      <c r="E22" s="329"/>
      <c r="F22" s="327"/>
    </row>
    <row r="23" spans="1:6" ht="13.5" thickBot="1" x14ac:dyDescent="0.25">
      <c r="A23" s="52"/>
      <c r="B23" s="343"/>
      <c r="C23" s="325" t="s">
        <v>61</v>
      </c>
      <c r="D23" s="326" t="s">
        <v>59</v>
      </c>
      <c r="E23" s="328"/>
      <c r="F23" s="327"/>
    </row>
    <row r="24" spans="1:6" x14ac:dyDescent="0.2">
      <c r="A24" s="52"/>
      <c r="B24" s="341" t="s">
        <v>53</v>
      </c>
      <c r="C24" s="103" t="s">
        <v>267</v>
      </c>
      <c r="D24" s="288" t="s">
        <v>37</v>
      </c>
      <c r="E24" s="108"/>
      <c r="F24" s="57"/>
    </row>
    <row r="25" spans="1:6" x14ac:dyDescent="0.2">
      <c r="A25" s="52"/>
      <c r="B25" s="342"/>
      <c r="C25" s="104" t="s">
        <v>268</v>
      </c>
      <c r="D25" s="289" t="s">
        <v>37</v>
      </c>
      <c r="E25" s="109"/>
      <c r="F25" s="57"/>
    </row>
    <row r="26" spans="1:6" x14ac:dyDescent="0.2">
      <c r="A26" s="52"/>
      <c r="B26" s="342"/>
      <c r="C26" s="104" t="s">
        <v>269</v>
      </c>
      <c r="D26" s="289" t="s">
        <v>37</v>
      </c>
      <c r="E26" s="109"/>
      <c r="F26" s="57"/>
    </row>
    <row r="27" spans="1:6" ht="13.5" thickBot="1" x14ac:dyDescent="0.25">
      <c r="A27" s="52"/>
      <c r="B27" s="343"/>
      <c r="C27" s="102" t="s">
        <v>270</v>
      </c>
      <c r="D27" s="290" t="s">
        <v>37</v>
      </c>
      <c r="E27" s="107"/>
      <c r="F27" s="57"/>
    </row>
    <row r="28" spans="1:6" x14ac:dyDescent="0.2">
      <c r="A28" s="52"/>
      <c r="B28" s="341" t="s">
        <v>54</v>
      </c>
      <c r="C28" s="103" t="s">
        <v>267</v>
      </c>
      <c r="D28" s="291" t="s">
        <v>37</v>
      </c>
      <c r="E28" s="108"/>
      <c r="F28" s="57"/>
    </row>
    <row r="29" spans="1:6" x14ac:dyDescent="0.2">
      <c r="A29" s="52"/>
      <c r="B29" s="342"/>
      <c r="C29" s="104" t="s">
        <v>268</v>
      </c>
      <c r="D29" s="289" t="s">
        <v>37</v>
      </c>
      <c r="E29" s="109"/>
      <c r="F29" s="57"/>
    </row>
    <row r="30" spans="1:6" x14ac:dyDescent="0.2">
      <c r="A30" s="52"/>
      <c r="B30" s="342"/>
      <c r="C30" s="104" t="s">
        <v>269</v>
      </c>
      <c r="D30" s="289" t="s">
        <v>37</v>
      </c>
      <c r="E30" s="109"/>
      <c r="F30" s="57"/>
    </row>
    <row r="31" spans="1:6" ht="13.5" thickBot="1" x14ac:dyDescent="0.25">
      <c r="A31" s="52"/>
      <c r="B31" s="343"/>
      <c r="C31" s="102" t="s">
        <v>270</v>
      </c>
      <c r="D31" s="290" t="s">
        <v>37</v>
      </c>
      <c r="E31" s="107"/>
      <c r="F31" s="57"/>
    </row>
    <row r="32" spans="1:6" x14ac:dyDescent="0.2">
      <c r="A32" s="52"/>
      <c r="B32" s="341" t="s">
        <v>3</v>
      </c>
      <c r="C32" s="103" t="s">
        <v>25</v>
      </c>
      <c r="D32" s="85" t="s">
        <v>57</v>
      </c>
      <c r="E32" s="108"/>
      <c r="F32" s="58"/>
    </row>
    <row r="33" spans="1:6" ht="13.5" thickBot="1" x14ac:dyDescent="0.25">
      <c r="A33" s="52"/>
      <c r="B33" s="343"/>
      <c r="C33" s="102" t="s">
        <v>26</v>
      </c>
      <c r="D33" s="84" t="s">
        <v>57</v>
      </c>
      <c r="E33" s="113"/>
      <c r="F33" s="58"/>
    </row>
    <row r="34" spans="1:6" x14ac:dyDescent="0.2">
      <c r="A34" s="52"/>
      <c r="B34" s="341" t="s">
        <v>13</v>
      </c>
      <c r="C34" s="170" t="s">
        <v>272</v>
      </c>
      <c r="D34" s="77" t="s">
        <v>37</v>
      </c>
      <c r="E34" s="316"/>
      <c r="F34" s="54"/>
    </row>
    <row r="35" spans="1:6" ht="13.5" thickBot="1" x14ac:dyDescent="0.25">
      <c r="A35" s="52"/>
      <c r="B35" s="342"/>
      <c r="C35" s="101" t="s">
        <v>273</v>
      </c>
      <c r="D35" s="80" t="s">
        <v>40</v>
      </c>
      <c r="E35" s="107"/>
      <c r="F35" s="52"/>
    </row>
    <row r="36" spans="1:6" ht="13.5" thickBot="1" x14ac:dyDescent="0.25">
      <c r="A36" s="52"/>
      <c r="B36" s="343"/>
      <c r="C36" s="171" t="s">
        <v>274</v>
      </c>
      <c r="D36" s="78" t="s">
        <v>57</v>
      </c>
      <c r="E36" s="317" t="e">
        <f>E35/E12</f>
        <v>#DIV/0!</v>
      </c>
      <c r="F36" s="52"/>
    </row>
    <row r="37" spans="1:6" x14ac:dyDescent="0.2">
      <c r="A37" s="52"/>
      <c r="B37" s="341" t="s">
        <v>55</v>
      </c>
      <c r="C37" s="103" t="s">
        <v>49</v>
      </c>
      <c r="D37" s="85" t="s">
        <v>59</v>
      </c>
      <c r="E37" s="142"/>
      <c r="F37" s="57"/>
    </row>
    <row r="38" spans="1:6" x14ac:dyDescent="0.2">
      <c r="A38" s="52"/>
      <c r="B38" s="342"/>
      <c r="C38" s="104" t="s">
        <v>51</v>
      </c>
      <c r="D38" s="83" t="s">
        <v>59</v>
      </c>
      <c r="E38" s="143"/>
      <c r="F38" s="57"/>
    </row>
    <row r="39" spans="1:6" ht="13.5" thickBot="1" x14ac:dyDescent="0.25">
      <c r="A39" s="52"/>
      <c r="B39" s="343"/>
      <c r="C39" s="102" t="s">
        <v>50</v>
      </c>
      <c r="D39" s="84" t="s">
        <v>38</v>
      </c>
      <c r="E39" s="144"/>
      <c r="F39" s="57"/>
    </row>
    <row r="40" spans="1:6" x14ac:dyDescent="0.2">
      <c r="A40" s="52"/>
      <c r="B40" s="348" t="s">
        <v>31</v>
      </c>
      <c r="C40" s="346" t="s">
        <v>30</v>
      </c>
      <c r="D40" s="377" t="s">
        <v>41</v>
      </c>
      <c r="E40" s="178" t="e">
        <f>IF(E10="ZB1",E47,IF(E10="ZB2",E49,IF(E10="ZB3",E51,IF(E10="ZB4",E53,IF(E10="ZB6",E55,IF(E10="ZB7",E57,IF(E10="ZB8",E59, IF(E10="ZB5", E59,"#"))))))))</f>
        <v>#DIV/0!</v>
      </c>
      <c r="F40" s="59"/>
    </row>
    <row r="41" spans="1:6" ht="13.5" thickBot="1" x14ac:dyDescent="0.25">
      <c r="A41" s="52"/>
      <c r="B41" s="349"/>
      <c r="C41" s="347"/>
      <c r="D41" s="378"/>
      <c r="E41" s="187" t="e">
        <f>ROUND(IF(E10="ZB1",E46,IF(E10="ZB2",E48,IF(E10="ZB3",E50,IF(E10="ZB4",E52,IF(E10="ZB6",E54,IF(E10="ZB7",E56,IF(E10="ZB8",E58,IF(E10="ZB5", E58,"#")))))))), 0)</f>
        <v>#DIV/0!</v>
      </c>
      <c r="F41" s="59"/>
    </row>
    <row r="42" spans="1:6" x14ac:dyDescent="0.2">
      <c r="A42" s="52"/>
      <c r="B42" s="350" t="s">
        <v>34</v>
      </c>
      <c r="C42" s="365" t="s">
        <v>36</v>
      </c>
      <c r="D42" s="357" t="s">
        <v>42</v>
      </c>
      <c r="E42" s="179" t="e">
        <f>(IF(E10="ZB1",E75,IF(E10="ZB2",E77,IF(E10="ZB3",E79,IF(E10="ZB4",E81,IF(OR(E10="ZB5",E10="ZB6",E10="ZB7",E10="ZB8"),"Não se aplica","#"))))))</f>
        <v>#DIV/0!</v>
      </c>
      <c r="F42" s="60"/>
    </row>
    <row r="43" spans="1:6" ht="13.5" thickBot="1" x14ac:dyDescent="0.25">
      <c r="A43" s="52"/>
      <c r="B43" s="351"/>
      <c r="C43" s="366"/>
      <c r="D43" s="358"/>
      <c r="E43" s="188" t="e">
        <f>ROUND(IF(E10="ZB1",E74,IF(E10="ZB2",E76,IF(E10="ZB3",E78,IF(E10="ZB4",E80,IF(OR(E10="ZB5",E10="ZB6",E10="ZB7",E10="ZB8"),0,"#"))))), 3)</f>
        <v>#DIV/0!</v>
      </c>
      <c r="F43" s="61"/>
    </row>
    <row r="44" spans="1:6" x14ac:dyDescent="0.2">
      <c r="A44" s="52"/>
      <c r="B44" s="361" t="s">
        <v>33</v>
      </c>
      <c r="C44" s="359" t="s">
        <v>32</v>
      </c>
      <c r="D44" s="355" t="s">
        <v>42</v>
      </c>
      <c r="E44" s="179" t="e">
        <f>IF(E94="Não", "Não se aplica",IF(E10="ZB1",E61,IF(E10="ZB2",E63,IF(E10="ZB3",E65,IF(E10="ZB4",E67,IF(E10="ZB6",E69,IF(E10="ZB7",E71,IF(E10="ZB8",E73,IF(E10="ZB5",E73,"#")))))))))</f>
        <v>#DIV/0!</v>
      </c>
      <c r="F44" s="60"/>
    </row>
    <row r="45" spans="1:6" ht="13.5" thickBot="1" x14ac:dyDescent="0.25">
      <c r="A45" s="52"/>
      <c r="B45" s="362"/>
      <c r="C45" s="360"/>
      <c r="D45" s="356"/>
      <c r="E45" s="188" t="e">
        <f>IF(E94="Não",0,ROUND(IF(E10="ZB1",E60,IF(E10="ZB2",E62,IF(E10="ZB3",E64,IF(E10="ZB4",E66,IF(E10="ZB6",E68,IF(E10="ZB7",E70,IF(E10="ZB8",E72,IF(E10="ZB5", E72, "#")))))))), 3))</f>
        <v>#DIV/0!</v>
      </c>
      <c r="F45" s="61"/>
    </row>
    <row r="46" spans="1:6" ht="13.5" hidden="1" thickBot="1" x14ac:dyDescent="0.25">
      <c r="A46" s="52"/>
      <c r="B46" s="373" t="s">
        <v>264</v>
      </c>
      <c r="C46" s="376" t="s">
        <v>6</v>
      </c>
      <c r="D46" s="62"/>
      <c r="E46" s="174" t="e">
        <f xml:space="preserve"> 94.0522 + E22 * 123.0188 + E35/E12 * 164.3781 + (E16*(IF(E13=0,0,1)))*(E18*(IF(E13=0,0,1)))*E13*E12 * 2.6353 + ((E16*(IF(E13=0,0,1)))*(E18*(IF(E13=0,0,1)))/(IF((E17*(IF(E13=0,0,1)))=0,1,(E17*(IF(E13=0,0,1))))))*E12 * 3.0564 + E33 * -66.6721 + (E17*(IF(E13=0,0,1))) * -0.0607 + (E18*(IF(E13=0,0,1))) * 56.9221 + E31*IMABS(E33-1) * 9.1358 + E37 * -32.8413 + E14 * -54.3782 + IF(E29=0,0,1) * -13.782 + (E19*E21/E20)*(E24+E25+E26+E27) * 0.2637 + E32 * -35.938 + E20 * -0.0441 + E15 * -19.2971 + E13*E12 * -0.9075 + E38 * -16.1623 + E13 * 50.8387 + IF(E31=0,0,1) * 21.8479 + E28*E33 * 5.4197 + E12 * -0.8241 + E35 * 6.9951 + E14*E12 * 0.4141 + E30*E32 * 5.4487 + E24*E21 * -0.1569 + E26*E19*E21 * 2.4596 + E26*E19 * -1.0187 + E29*E33 * 2.2785 + E31*E33 * 2.9537 + E25*E19*E21 * 0.47324 + E21 * 15.3256 + E23 * 16.2345 + E19 * -12.2883 + E29*E32 * 2.639 + E27*E19*E21 * 1.7745 + E27*E19 * -0.7678 + IF(E24=0,0,1) * 22.1077 + IF(E28=0,0,1) * -15.7841</f>
        <v>#DIV/0!</v>
      </c>
      <c r="F46" s="63"/>
    </row>
    <row r="47" spans="1:6" ht="13.5" hidden="1" thickBot="1" x14ac:dyDescent="0.25">
      <c r="A47" s="52"/>
      <c r="B47" s="374"/>
      <c r="C47" s="344"/>
      <c r="D47" s="64"/>
      <c r="E47" s="175" t="e">
        <f>IF(E46&lt;ESCALAS!$B$5, "A", IF(E46&lt;ESCALAS!$B$6,"B", IF(E46&lt;ESCALAS!$B$7, "C", IF(E46&lt;ESCALAS!$B$8, "D", IF(E46&gt;ESCALAS!$B$8, "E", "")))))</f>
        <v>#DIV/0!</v>
      </c>
      <c r="F47" s="63"/>
    </row>
    <row r="48" spans="1:6" ht="13.5" hidden="1" thickBot="1" x14ac:dyDescent="0.25">
      <c r="A48" s="52"/>
      <c r="B48" s="374"/>
      <c r="C48" s="344" t="s">
        <v>7</v>
      </c>
      <c r="D48" s="64"/>
      <c r="E48" s="175" t="e">
        <f xml:space="preserve"> 6000.8491 + E22 * 2386.2991 + E14*E12 * -14.3895 + E33 * -2377.3152 + (E16*(IF(E13=0,0,1))) * -134.9247 + E21 * 1905.826 + E19 * 374.366 + E35/E12 * 5560.6203 + E23 * -934.7427 + IF(E29=0,0,1) * -714.8608 + (E18*(IF(E13=0,0,1))) * 2112.574 + E14 * -1614.976 + E32 * -1460.7816 + (E17*(IF(E13=0,0,1))) * -0.5852 + (E24+E25+E26+E27) * 17.1399 + E12 * -17.4787 + (E16*(IF(E13=0,0,1)))*(E18*(IF(E13=0,0,1)))*E13*E12 * 64.3714 + E38 * -433.2762 + E31*IMABS(E33-1) * 61.6169 + E26*E19*E21 * 44.0963 + E24*E19*E21 * 108.6003 + E15 * -314.5094 + E30*IMABS(E33-1) * 84.7338 + E27*E19*E21 * 36.2855 + (E19*E21/E20)*(E24+E25+E26+E27) * -4.0776 + E25*E19*E21 * 40.8156 + IF(E24=0,0,1) * 1631.2618 + IF(E28=0,0,1) * -965.5409 + E24 * -21.6288 + E13*E12 * -11.3058 + E28*E32 * 43.11301 + E24*E19 * -44.4243 + ((E16*(IF(E13=0,0,1)))*(E18*(IF(E13=0,0,1)))/(IF((E17*(IF(E13=0,0,1)))=0,1,(E17*(IF(E13=0,0,1))))))*E12 * 7.8959 + E30*E33 * 80.4137 + E31 * 63.1816 + E35 * -269.4569 + E29*E33 * 109.2535 + E28*E33 * 63.5351 + E34 * 6.2899 + E24*E21 * -74.6509 + E29 * -89.8677 + E25*E19 * -14.2651 + E29*E32 * 66.7633 + E37 * -348.4968 + E34*E20 * -0.0022 + IF(E27=0,0,1) * 1010.6465 + E27 * -58.4028 + IF(E31=0,0,1) * -441.3903</f>
        <v>#DIV/0!</v>
      </c>
      <c r="F48" s="63"/>
    </row>
    <row r="49" spans="1:6" ht="13.5" hidden="1" thickBot="1" x14ac:dyDescent="0.25">
      <c r="A49" s="52"/>
      <c r="B49" s="374"/>
      <c r="C49" s="344"/>
      <c r="D49" s="64"/>
      <c r="E49" s="175" t="e">
        <f>IF(E48&lt;ESCALAS!$C$5, "A", IF(E48&lt;ESCALAS!$C$6,"B", IF(E48&lt;ESCALAS!$C$7, "C", IF(E48&lt;ESCALAS!$C$8, "D", IF(E48&gt;ESCALAS!$C$8, "E", "")))))</f>
        <v>#DIV/0!</v>
      </c>
      <c r="F49" s="63"/>
    </row>
    <row r="50" spans="1:6" ht="13.5" hidden="1" thickBot="1" x14ac:dyDescent="0.25">
      <c r="A50" s="52"/>
      <c r="B50" s="374"/>
      <c r="C50" s="345" t="s">
        <v>2</v>
      </c>
      <c r="D50" s="65"/>
      <c r="E50" s="175" t="e">
        <f xml:space="preserve"> 836.4188 + E22 * 1002.2853 + (E18*(IF(E13=0,0,1))) * 1248.7615 + E33 * -1042.8507 + E14*E12 * -7.9675 + E21 * 1007.6786 + E35/E12 * 2324.8467 + (E17*(IF(E13=0,0,1))) * -0.3032 + IF(E29=0,0,1) * -77.7838 + E26*E19*E21 * 26.3363 + E34*E20 * -0.0016 + E14 * -605.5557 + (E16*(IF(E13=0,0,1)))*(E18*(IF(E13=0,0,1)))*E13*E12 * 25.18789 + E32 * -830.6742 + E12 * 34.162 + (E24+E25+E26+E27) * -3.3292 + E31*IMABS(E33-1) * 16.9856 + E30*E32 * 70.1758 + E20 * -0.0426 + E29*IMABS(E33-1) * -54.1796 + E24*E19*E21 * 14.1195 + E15 * -114.4985 + IF(E27=0,0,1) * 399.0021 + E28*E33 * 2.4466 + IF(E28=0,0,1) * -379.5777 + IF(E24=0,0,1) * 738.1763 + E24 * -4.2304 + ((E16*(IF(E13=0,0,1)))*(E18*(IF(E13=0,0,1)))/(IF((E17*(IF(E13=0,0,1)))=0,1,(E17*(IF(E13=0,0,1))))))*E12 * 5.5988 + E13*E12 * -6.1829 + E23 * -200.9447 + (E16*(IF(E13=0,0,1))) * -103.1092 + E25*E19*E21 * 3.84 + IF(E26=0,0,1) * 431.9407 + E34 * 16.274 + E35*E12 * -20.4181 + IF(E25=0,0,1) * 126.6339 + E29*E32 * 51.153+ E31*E32 * 55.4249 + E28*E32 * 79.2095 + E27*E19*E21 * 15.3351 + E25 * 26.0925 + E28*IMABS(E33-1) * -34.7777</f>
        <v>#DIV/0!</v>
      </c>
      <c r="F50" s="63"/>
    </row>
    <row r="51" spans="1:6" ht="13.5" hidden="1" thickBot="1" x14ac:dyDescent="0.25">
      <c r="A51" s="52"/>
      <c r="B51" s="374"/>
      <c r="C51" s="345"/>
      <c r="D51" s="65"/>
      <c r="E51" s="175" t="e">
        <f>IF(E50&lt;ESCALAS!$D$5, "A", IF(E50&lt;ESCALAS!$D$6,"B", IF(E50&lt;ESCALAS!$D$7, "C", IF(E50&lt;ESCALAS!$D$8, "D", IF(E50&gt;ESCALAS!$D$8, "E", "")))))</f>
        <v>#DIV/0!</v>
      </c>
      <c r="F51" s="63"/>
    </row>
    <row r="52" spans="1:6" ht="13.5" hidden="1" thickBot="1" x14ac:dyDescent="0.25">
      <c r="A52" s="52"/>
      <c r="B52" s="374"/>
      <c r="C52" s="345" t="s">
        <v>8</v>
      </c>
      <c r="D52" s="65"/>
      <c r="E52" s="175" t="e">
        <f xml:space="preserve"> 641.1879 + E22 * 748.0024 + (E18*(IF(E13=0,0,1))) * 548.8264 + E33 * -766.6239 + (E17*(IF(E13=0,0,1))) * -0.4332 + E35/E12 * 1518.1021 + E21 * 445.9668 + E14 * -445.7625 + E29*IMABS(E33-1) * -56.0964 + (E16*(IF(E13=0,0,1)))*(E18*(IF(E13=0,0,1)))*E13*E12 * 29.051 + ((E16*(IF(E13=0,0,1)))*(E18*(IF(E13=0,0,1)))/(IF((E17*(IF(E13=0,0,1)))=0,1,(E17*(IF(E13=0,0,1))))))*E12 * 13.4318 + E15 * -193.7316 + E34*E20 * 0.0004 + E31*IMABS(E33-1) * 33.3844 + IF(E29=0,0,1) * -67.8611 + E32 * -428.7391 + (E24+E25+E26+E27) * -10.4357 + E12 * 15.6972 + E20 * -0.3578 + E13*E12 * -13.1833 + IF(E28=0,0,1) * -214.2001 + IF(E24=0,0,1) * 457.9108 + E24 * 15.4759 + E26*E19*E21 * 17.4512 + IF(E27=0,0,1) * 452.3534 + E30 * 15.6908 + E13 * 738.0624 + (E16*(IF(E13=0,0,1))) * -302.0291 + E29*E32 * 38.3885 + IF(E25=0,0,1) * 60.5649 + IF(E26=0,0,1) * 289.4002 + E34 * 9.1604 + E35*E12 * -10.225 + E14*E12 * 1.7323 + (E19*E21/E20)*(E24+E25+E26+E27) * 0.813 + E19 * -177.0105 + E23 * 101.9694 + E28*E33 * 16.6898 + E25 * 26.9753 + E27*E19*E21 * 8.3558 + E30*IMABS(E33-1) * -13.3692</f>
        <v>#DIV/0!</v>
      </c>
      <c r="F52" s="63"/>
    </row>
    <row r="53" spans="1:6" ht="13.5" hidden="1" thickBot="1" x14ac:dyDescent="0.25">
      <c r="A53" s="52"/>
      <c r="B53" s="374"/>
      <c r="C53" s="345"/>
      <c r="D53" s="65"/>
      <c r="E53" s="175" t="e">
        <f>IF(E52&lt;ESCALAS!$E$5, "A", IF(E52&lt;ESCALAS!$E$6,"B", IF(E52&lt;ESCALAS!$E$7, "C", IF(E52&lt;ESCALAS!$E$8, "D", IF(E52&gt;ESCALAS!$E$8, "E", "")))))</f>
        <v>#DIV/0!</v>
      </c>
      <c r="F53" s="63"/>
    </row>
    <row r="54" spans="1:6" ht="13.5" hidden="1" thickBot="1" x14ac:dyDescent="0.25">
      <c r="A54" s="52"/>
      <c r="B54" s="374"/>
      <c r="C54" s="345" t="s">
        <v>9</v>
      </c>
      <c r="D54" s="65"/>
      <c r="E54" s="175" t="e">
        <f xml:space="preserve"> 2761.081 + E22 * 3125.5139 + (E18*(IF(E13=0,0,1))) * 3942.2575 + E33 * -3602.9301 + E14*E12 * -28.7788 + E21 * 4083.2765 + E23 * -1291.1085 + E35/E12 * 2391.4019 + IF(E29=0,0,1) * -513.1325 + (E24+E25+E26+E27) * -0.4197 + E14 * -2285.2793 + (E17*(IF(E13=0,0,1))) * -1.0075 + (E16*(IF(E13=0,0,1)))*(E18*(IF(E13=0,0,1)))*E13*E12 * 49.7464 + IF(E26=0,0,1) * 1146.8746 + E29*IMABS(E33-1) * -199.9634 + E12 * 85.3725 + E32 * -2857.6711 + ((E16*(IF(E13=0,0,1)))*(E18*(IF(E13=0,0,1)))/(IF((E17*(IF(E13=0,0,1)))=0,1,(E17*(IF(E13=0,0,1))))))*E12 * 16.0537 + E34 * 28.1849 + E24*E19*E21 * 340.8291 + IF(E27=0,0,1) * 2184.3602 + IF(E24=0,0,1) * 2581.4199 + E25*E19 * 15.9464 + E26*E19*E21 * 61.7515 + E30*E32 * 353.082 + IF(E25=0,0,1) * 825.5822 + E34*E20 * -0.0078 + E31*IMABS(E33-1) * 49.9509 + E28*E32 * 431.5161 + IF(E28=0,0,1) * -1237.0229 + E35*E12 * -46.9272 + E29*E32 * 338.6678 + E31*E32 * 383.4189 + E27*E19*E21 * 43.064 + E20 * 0.4015 + E28 * -156.2399 + E31 * -158.3389 + E29 * -141.7571 + E35 * 614.7558 + E30 * -80.6791 + E24*E21 * -636.1284 + E24*E19 * -205.4987 + E24 * 375.6431 + E27 * -67.2184 + IF(E31=0,0,1) * -708.5751</f>
        <v>#DIV/0!</v>
      </c>
      <c r="F54" s="63"/>
    </row>
    <row r="55" spans="1:6" ht="13.5" hidden="1" thickBot="1" x14ac:dyDescent="0.25">
      <c r="A55" s="52"/>
      <c r="B55" s="374"/>
      <c r="C55" s="345"/>
      <c r="D55" s="65"/>
      <c r="E55" s="175" t="e">
        <f>IF(E54&lt;ESCALAS!$F$5, "A", IF(E54&lt;ESCALAS!$F$6,"B", IF(E54&lt;ESCALAS!$F$7, "C", IF(E54&lt;ESCALAS!$F$8, "D", IF(E54&gt;ESCALAS!$F$8, "E", "")))))</f>
        <v>#DIV/0!</v>
      </c>
      <c r="F55" s="63"/>
    </row>
    <row r="56" spans="1:6" ht="13.5" hidden="1" thickBot="1" x14ac:dyDescent="0.25">
      <c r="A56" s="52"/>
      <c r="B56" s="374"/>
      <c r="C56" s="345" t="s">
        <v>10</v>
      </c>
      <c r="D56" s="65"/>
      <c r="E56" s="175" t="e">
        <f xml:space="preserve"> 16195.9377 + E33 * -6292.1885 + (E18*(IF(E13=0,0,1))) * 5145.0087 + E22 * 3727.9138 + E21 * 8932.3248 + E14*E12 * -52.7262 + IF(E29=0,0,1) * 72.7154 + (E24+E25+E26+E27) * 520.0973 + E23 * -1648.3363 + E14 * -2738.0873 + E15*E12 * -25.3375 + E29*IMABS(E33-1) * -298.4915 + E26*E19*E21 * 94.7187 + (E16*(IF(E13=0,0,1)))*(E18*(IF(E13=0,0,1)))*E13*E12 * 110.3609 + (E17*(IF(E13=0,0,1))) * -0.8985 + E35/E12 * 9610.9011 + E25 * -434.0247 + E32 * -2302.3773 + E34*E20 * -0.0119 + IF(E28=0,0,1) * -1806.5932 + IF(E24=0,0,1) * 3647.3308 + E27*E19*E21 * 469.8836 + (E16*(IF(E13=0,0,1))) * -1341.2948 + E24 * -586.4147 + E28*E32 * 416.5898 + E28 * -182.6811 + E24*E19*E21 * 63.249 + (E19*E21/E20)*(E24+E25+E26+E27) * -5.1944 + IF(E26=0,0,1) * 2421.0221 + IF(E27=0,0,1) * 3114.1878 + E34 * 27.0537 + E35 * -693.2786 + E31*E33 * -99.1571 + E13*E12 * -30.1558 + E13 * 1673.3297 + E27*E21 * -868.5381 + E20 * 1.0065 + (E24+E25+E26+E27)*E20 * -0.0226 + E27*E19 * -279.5554 + E26 * -540.0451</f>
        <v>#DIV/0!</v>
      </c>
      <c r="F56" s="63"/>
    </row>
    <row r="57" spans="1:6" ht="13.5" hidden="1" thickBot="1" x14ac:dyDescent="0.25">
      <c r="A57" s="52"/>
      <c r="B57" s="374"/>
      <c r="C57" s="345"/>
      <c r="D57" s="65"/>
      <c r="E57" s="175" t="e">
        <f>IF(E56&lt;ESCALAS!$G$5, "A", IF(E56&lt;ESCALAS!$G$6,"B", IF(E56&lt;ESCALAS!$G$7, "C", IF(E56&lt;ESCALAS!$G$8, "D", IF(E56&gt;ESCALAS!$G$8, "E", "")))))</f>
        <v>#DIV/0!</v>
      </c>
      <c r="F57" s="63"/>
    </row>
    <row r="58" spans="1:6" ht="13.5" hidden="1" thickBot="1" x14ac:dyDescent="0.25">
      <c r="A58" s="52"/>
      <c r="B58" s="375"/>
      <c r="C58" s="345" t="s">
        <v>11</v>
      </c>
      <c r="D58" s="66"/>
      <c r="E58" s="175" t="e">
        <f xml:space="preserve"> 4957.7051 + E33 * -4358.312 + (E18*(IF(E13=0,0,1))) * 3875.5022 + E21 * 4833.6329 + E22 * 2649.1399 + IF(E27=0,0,1) * 2224.2663 + E14*E12 * -19.6341 + E26*E19*E21 * 40.0109 + IF(E24=0,0,1) * 3128.2421 + E15*E12 * -15.3035 + E31*IMABS(E33-1) * 267.511 + E32 * -1923.145 + E29*IMABS(E33-1) * -135.5828 + (E16*(IF(E13=0,0,1)))*(E18*(IF(E13=0,0,1)))*E13*E12 * 76.0281 + E13*E12 * -21.8897 + IF(E28=0,0,1) * -1503.2234 + E24 * -31.3561 + E25 * 106.7381 + IF(E26=0,0,1) * 1524.3703 + E24*E19*E21 * 41.4009 + IF(E30=0,0,1) * -1089.084 + E35/E12 * 4861.2191 + E14 * -703.1388 + (E24+E25+E26+E27) * -3.4004 + E27*E19*E21 * 55.4737 + (E17*(IF(E13=0,0,1))) * -0.3847 + E23 * 338.3054 + (E16*(IF(E13=0,0,1))) * -556.2222 + E26*E21 * 91.986 + IF(E25=0,0,1) * 340.0819 + E15 * -398.7255 + E30*IMABS(E33-1) * 66.4689 + E28*E33 * -40.6794 + E35*E12 * -78.9077 + E34 * 59.9755 + E12 * 152.91185 + E28*E32 * 98.2787 + E29*E32 * 112.5051 + E30*E32 * 93.0504 + IF(E29=0,0,1) * -586.4518</f>
        <v>#DIV/0!</v>
      </c>
      <c r="F58" s="63"/>
    </row>
    <row r="59" spans="1:6" ht="13.5" hidden="1" thickBot="1" x14ac:dyDescent="0.25">
      <c r="A59" s="52"/>
      <c r="B59" s="375"/>
      <c r="C59" s="345"/>
      <c r="D59" s="65"/>
      <c r="E59" s="175" t="e">
        <f>IF(E58&lt;ESCALAS!$H$5, "A", IF(E58&lt;ESCALAS!$H$6,"B", IF(E58&lt;ESCALAS!$H$7, "C", IF(E58&lt;ESCALAS!$H$8, "D", IF(E58&gt;ESCALAS!$H$8, "E", "")))))</f>
        <v>#DIV/0!</v>
      </c>
      <c r="F59" s="63"/>
    </row>
    <row r="60" spans="1:6" ht="13.5" hidden="1" thickBot="1" x14ac:dyDescent="0.25">
      <c r="A60" s="52"/>
      <c r="B60" s="367" t="s">
        <v>12</v>
      </c>
      <c r="C60" s="344" t="s">
        <v>6</v>
      </c>
      <c r="D60" s="62"/>
      <c r="E60" s="175" t="e">
        <f>(( 52352.3 + E33 * -8297.4 + E18 * 70296 + E35 * -37491.7 + E31*IMABS(E33-1) * 10008.6 + E21 * -761.4 + E14 * -21119.5 + E22 * -5086.1 + E30 * 1600.8 + E37 * -9600.9 + (E24+E25+E26+E27) * 2458.6 + (E16*E18/E17)*E12 * -343.2 + (E19*E21/E20)*(E24+E25+E26+E27) * -120 + E13 * -56981.8 + E13*E12 * 631.4 + E15 * -8228 + E30*IMABS(E33-1) * 4822.8 + E34*E20 * 0 + E17 * 9.5 + E28*IMABS(E33-1) * 2074.1 + E27*E21 * 2051.7 + E27 * -829.4 + E26*E21 * 1764.5 + E26 * -715.2 + E23 * -5944.3 + E12 * -1670.4 + E16 * 9402.5 + E16*E18*E13*E12 * -0.2 + E29*E33 * 425 + E19 * -4201.8 + E27*E19*E21 * 281.4 + E26*E19*E21 * 244.5 + E24*E19*E21 * 1144.4 + E25*E19*E21 * 909.2 + E24*E19 * -428.6 + E25*E19 * -376.8 + E29*IMABS(E33-1) * 1807.8 + E34 * 2026.5 + E32 * -17388.2 + E31*E39 * 60.7 + IF(E26=0,0,1) * -3498.8 + E38 * -1072.9 + E35/E12 * 161893.2 + (E24+E25+E26+E27)*E20 * 0.1 + E20 * -4.9 + E15*E12 * -30.4 + E29 * -527.5 + IF(E27=0,0,1) * -2931.8 + E31*E33 * 579.5 + E30*E33 * 1143.5 + E28*E32 * 2850.3 + IF(E25=0,0,1) * 1073.8 + IF(E31=0,0,1) * 1215.4 + E29*E32 * 2544.8 + E31*E32 * 2457.1 + E30*E32 * 2449.2 + IF(E30=0,0,1) * -1600.6)/1000)/E12</f>
        <v>#DIV/0!</v>
      </c>
      <c r="F60" s="63"/>
    </row>
    <row r="61" spans="1:6" ht="13.5" hidden="1" thickBot="1" x14ac:dyDescent="0.25">
      <c r="A61" s="52"/>
      <c r="B61" s="368"/>
      <c r="C61" s="344"/>
      <c r="D61" s="64"/>
      <c r="E61" s="175" t="e">
        <f>IF(E60&lt;ESCALAS!$B$15, "A", IF(E60&lt;ESCALAS!$B$16,"B", IF(E60&lt;ESCALAS!$B$17, "C", IF(E60&lt;ESCALAS!$B$18, "D", IF(E60&gt;ESCALAS!$B$18, "E", "")))))</f>
        <v>#DIV/0!</v>
      </c>
      <c r="F61" s="63"/>
    </row>
    <row r="62" spans="1:6" ht="13.5" hidden="1" thickBot="1" x14ac:dyDescent="0.25">
      <c r="A62" s="52"/>
      <c r="B62" s="368"/>
      <c r="C62" s="344" t="s">
        <v>7</v>
      </c>
      <c r="D62" s="62"/>
      <c r="E62" s="175" t="e">
        <f xml:space="preserve"> ((334629.436 + E14 * -64448.129 + E33 * -47641.919 + E35*E12 * 6828.342 + E12 * -9992.56 + E22 * -58945.896 + E21 * 60676.4729999999 + E13*E12 * 2206.074 + E37 * -64659.132 + IF(E29=0,0,1) * -7680.207 + E14*E12 * -1979.936 + E34*E20 * 0.205 + (E16*E18/E17)*E12 * -1217.268 + E31*IMABS(E33-1) * 6762.04 + (E19*E21/E20)*(E24+E25+E26+E27) * -502.764 + E18 * 216237.847 + E13 * -189328.918 + E34 * -6338.149 + E15 * -20904.955 + E30*IMABS(E33-1) * 6790.879 + E30*E39 * 82 + E27*E21 * 7137.224 + E24*E21 * 2793.896 + E26*E21 * 5566.738 + E25*E21 * 1228.379 + (E24+E25+E26+E27) * -10012.598 + E17 * 38.174 + E23 * -26979.53 + E19 * -22651.656 + E24*E19*E21 * 1851.439 + E25*E19*E21 * 1265.909 + E16 * 31139.06 + E16*E18*E13*E12 * -0.715 + E38 * -11134.987 + E29 * -3919.778 + E20 * -39.698 + (E24+E25+E26+E27)*E20 * 0.696 + E15*E12 * -410.523 + E30 * -943.432 + E28*IMABS(E33-1) * -5067.412 + E25 * 1829.908 + E35 * 39243.602 + E27*E19 * 507.292 + E26*E19*E21 * 887.993 + E24 * 1171.248 + E29*IMABS(E33-1) * -8205.974+ E29*E33 * -12838.865 + E31*E33 * -13768.032 + E28*E33 * -13562.196 + E28*E32 * 8224.42 + E31*E32 * 7765.46 + E29*E32 * 6299.26 + E30*E32 * 3507.485)/1000)/E12</f>
        <v>#DIV/0!</v>
      </c>
      <c r="F62" s="63"/>
    </row>
    <row r="63" spans="1:6" ht="13.5" hidden="1" thickBot="1" x14ac:dyDescent="0.25">
      <c r="A63" s="52"/>
      <c r="B63" s="368"/>
      <c r="C63" s="344"/>
      <c r="D63" s="64"/>
      <c r="E63" s="175" t="e">
        <f>IF(E62&lt;ESCALAS!$C$15, "A", IF(E62&lt;ESCALAS!$C$16,"B", IF(E62&lt;ESCALAS!$C$17, "C", IF(E62&lt;ESCALAS!$C$18, "D", IF(E62&gt;ESCALAS!$C$18, "E", "")))))</f>
        <v>#DIV/0!</v>
      </c>
      <c r="F63" s="63"/>
    </row>
    <row r="64" spans="1:6" ht="13.5" hidden="1" thickBot="1" x14ac:dyDescent="0.25">
      <c r="A64" s="52"/>
      <c r="B64" s="368"/>
      <c r="C64" s="345" t="s">
        <v>2</v>
      </c>
      <c r="D64" s="66"/>
      <c r="E64" s="175" t="e">
        <f xml:space="preserve"> (7867.892423 + E35/E12 * 33900.99145 + E22 * -4066.23669 + E14 * -4446.924963 + E21 * 6016.211598 + (E17*(IF(E13=0,0,1))) * 1.819884848 + E33 * -1827.631112 + IF(E29=0,0,1) * -877.741687 + E12 * -79.82280003 + (E24+E25+E26+E27)*E20 * 0.021082547 + E15 * -1185.725246 + E13 * -2582.528632 + (E16*(IF(E13=0,0,1)))*(E18*(IF(E13=0,0,1)))*E13*E12 * 92.40508387 + ((E16*(IF(E13=0,0,1)))*(E18*(IF(E13=0,0,1)))/(IF((E17*(IF(E13=0,0,1)))=0,1,(E17*(IF(E13=0,0,1))))))*E12 * -14.30241724 + E13*E12 * -46.80560132 + IF(E28=0,0,1) * -351.0817441 + (E19*E21/E20)*(E24+E25+E26+E27) * -7.479311112 + (E24+E25+E26+E27) * 31.03839765 + (E18*(IF(E13=0,0,1))) * 1977.019532 + E28*E33 * 16.30959519 + E29*E32 * 641.0082048 + E30*E32 * 493.2535196 + E31*E32 * 485.5656771 + E29 * -199.1907744 + IF(E25=0,0,1) * -660.451344 + E25*E19*E21 * 73.9340025 + E25*E21 * -112.7864218 + E28*E32 * 397.1550733 + E28*IMABS(E33-1) * -247.9865642)/1000</f>
        <v>#DIV/0!</v>
      </c>
      <c r="F64" s="63"/>
    </row>
    <row r="65" spans="1:6" ht="13.5" hidden="1" thickBot="1" x14ac:dyDescent="0.25">
      <c r="A65" s="52"/>
      <c r="B65" s="368"/>
      <c r="C65" s="345"/>
      <c r="D65" s="65"/>
      <c r="E65" s="175" t="e">
        <f>IF(E64&lt;ESCALAS!$D$15, "A", IF(E64&lt;ESCALAS!$D$16,"B", IF(E64&lt;ESCALAS!$D$17, "C", IF(E64&lt;ESCALAS!$D$18, "D", IF(E64&gt;ESCALAS!$D$18, "E", "")))))</f>
        <v>#DIV/0!</v>
      </c>
      <c r="F65" s="63"/>
    </row>
    <row r="66" spans="1:6" ht="13.5" hidden="1" thickBot="1" x14ac:dyDescent="0.25">
      <c r="A66" s="52"/>
      <c r="B66" s="368"/>
      <c r="C66" s="345" t="s">
        <v>8</v>
      </c>
      <c r="D66" s="66"/>
      <c r="E66" s="175" t="e">
        <f xml:space="preserve"> (3981.466335 + E35/E12 * -15076.77712 + E21 * 7363.065719 + E22 * -1677.321218 + E14 * -3482.477443 + E33 * -3198.293123 + (E17*(IF(E13=0,0,1))) * 2.352138468 + E15 * -1650.522462 + (E24+E25+E26+E27) * 47.507689 + (E19*E21/E20)*(E24+E25+E26+E27) * -17.56294421 + E12 * -137.9229657 + IF(E29=0,0,1) * -472.6242092 + (E16*(IF(E13=0,0,1)))*(E18*(IF(E13=0,0,1)))*E13*E12 * 93.8016978 + ((E16*(IF(E13=0,0,1)))*(E18*(IF(E13=0,0,1)))/(IF((E17*(IF(E13=0,0,1)))=0,1,(E17*(IF(E13=0,0,1))))))*E12 * -28.25855507 + E13*E12 * -26.1204419 + E32 * 64.3085433 + (E16*(IF(E13=0,0,1))) * 1199.412273 + IF(E28=0,0,1) * -75.2340605 + (E18*(IF(E13=0,0,1))) * 5197.955199 + E13 * -5639.00516 + E35 * 1816.654588 + E23 * -1548.86204 + (E24+E25+E26+E27)*E20 * 0.008979463 + E19 * 374.0701002 + E20 * 1.483844272 + E14*E12 * -19.45256336 + E30*E32 * 501.9219639 + E27*E19*E21 * 109.5784014 + E26*E19*E21 * 123.37269 + E31*E32 * 382.6184779 + E28*E32 * 689.8511485 + E29*E32 * 633.8283491 + E26 * -104.6289758 + E27 * -71.19109418 + E28*IMABS(E33-1) * -407.3373545 + E29 * -262.8142673 + E28*E33 * -223.5017613)/1000</f>
        <v>#DIV/0!</v>
      </c>
      <c r="F66" s="63"/>
    </row>
    <row r="67" spans="1:6" ht="13.5" hidden="1" thickBot="1" x14ac:dyDescent="0.25">
      <c r="A67" s="52"/>
      <c r="B67" s="368"/>
      <c r="C67" s="345"/>
      <c r="D67" s="65"/>
      <c r="E67" s="175" t="e">
        <f>IF(E66&lt;ESCALAS!$E$15, "A", IF(E66&lt;ESCALAS!$E$16,"B", IF(E66&lt;ESCALAS!$E$17, "C", IF(E66&lt;ESCALAS!$E$18, "D", IF(E66&gt;ESCALAS!$E$18, "E", "")))))</f>
        <v>#DIV/0!</v>
      </c>
      <c r="F67" s="63"/>
    </row>
    <row r="68" spans="1:6" ht="13.5" hidden="1" thickBot="1" x14ac:dyDescent="0.25">
      <c r="A68" s="52"/>
      <c r="B68" s="368"/>
      <c r="C68" s="345" t="s">
        <v>9</v>
      </c>
      <c r="D68" s="66"/>
      <c r="E68" s="175" t="e">
        <f xml:space="preserve"> (13909.22345 + E35/E12 * 46665.75714 + E14 * -9261.567532 + E22 * -5499.30267 + E21 * 13333.96089 + E33 * -5203.48696 + E12 * -145.8722362 + (E17*(IF(E13=0,0,1))) * 2.726127782 + IF(E29=0,0,1) * -1616.153786 + (E16*(IF(E13=0,0,1)))*(E18*(IF(E13=0,0,1)))*E13*E12 * 205.6890375 + ((E16*(IF(E13=0,0,1)))*(E18*(IF(E13=0,0,1)))/(IF((E17*(IF(E13=0,0,1)))=0,1,(E17*(IF(E13=0,0,1))))))*E12 * -37.05859873 + E13*E12 * -82.98151759 + (E24+E25+E26+E27) * 37.751238 + E28*E32 * -461.8359624 + (E19*E21/E20)*(E24+E25+E26+E27) * -13.34776857 + E19 * 1281.474868 + E27 * 123.9020346 + IF(E26=0,0,1) * 4403.454355 + E15*E12 * -23.04079207 + E13 * -1432.890232 + E29*E32 * -409.4869023 + IF(E30=0,0,1) * -2140.65658 + E28 * 466.3406714 + E31*E33 * -234.4874082 + E30*E32 * -470.1514922 + E26 * -121.7083953 + IF(E31=0,0,1) * 895.9002352)/1000</f>
        <v>#DIV/0!</v>
      </c>
      <c r="F68" s="63"/>
    </row>
    <row r="69" spans="1:6" ht="13.5" hidden="1" thickBot="1" x14ac:dyDescent="0.25">
      <c r="A69" s="52"/>
      <c r="B69" s="368"/>
      <c r="C69" s="345"/>
      <c r="D69" s="65"/>
      <c r="E69" s="175" t="e">
        <f>IF(E68&lt;ESCALAS!$F$15, "A", IF(E68&lt;ESCALAS!$F$16,"B", IF(E68&lt;ESCALAS!$F$17, "C", IF(E68&lt;ESCALAS!$F$18, "D", IF(E68&gt;ESCALAS!$F$18, "E", "")))))</f>
        <v>#DIV/0!</v>
      </c>
      <c r="F69" s="63"/>
    </row>
    <row r="70" spans="1:6" ht="13.5" hidden="1" thickBot="1" x14ac:dyDescent="0.25">
      <c r="A70" s="52"/>
      <c r="B70" s="368"/>
      <c r="C70" s="345" t="s">
        <v>10</v>
      </c>
      <c r="D70" s="66"/>
      <c r="E70" s="175" t="e">
        <f xml:space="preserve"> (52951.69649 + E12 * -391.7722232 + E22 * -12991.29345 + E35/E12 * 113984.3546 + E21 * 17594.00903 + E14 * -7463.490545 + E33 * -7223.958904 + (E17*(IF(E13=0,0,1))) * 5.018994155 + (E24+E25+E26+E27) * 225.9017549 + IF(E25=0,0,1) * 304.1749842 + (E16*(IF(E13=0,0,1)))*(E18*(IF(E13=0,0,1)))*E13*E12 * 346.0392132 + E13 * -4382.546543 + ((E16*(IF(E13=0,0,1)))*(E18*(IF(E13=0,0,1)))/(IF((E17*(IF(E13=0,0,1)))=0,1,(E17*(IF(E13=0,0,1))))))*E12 * -49.49459549 + E13*E12 * -173.2405131 + E29*IMABS(E33-1) * -669.8932924 + E28*IMABS(E33-1) * -397.3213845 + E15 * -1374.198334 + (E19*E21/E20)*(E24+E25+E26+E27) * -11.48551302 + E35 * -2848.14997 + E24*E21 * -534.8388903 + E25*E21 * -677.4259978 + E29*E33 * -273.7613034 + E25*E19*E21 * 271.2223819 + E24*E19*E21 * 209.4063902 + E30*IMABS(E33-1) * 526.4490471 + E31*IMABS(E33-1) * 484.6475748 + IF(E24=0,0,1) * 1262.593067 + E25*E19 * -68.77906085 + E24*E19 * -51.04655035)/1000</f>
        <v>#DIV/0!</v>
      </c>
      <c r="F70" s="63"/>
    </row>
    <row r="71" spans="1:6" ht="13.5" hidden="1" thickBot="1" x14ac:dyDescent="0.25">
      <c r="A71" s="52"/>
      <c r="B71" s="368"/>
      <c r="C71" s="345"/>
      <c r="D71" s="65"/>
      <c r="E71" s="175" t="e">
        <f>IF(E70&lt;ESCALAS!$G$15, "A", IF(E70&lt;ESCALAS!$G$16,"B", IF(E70&lt;ESCALAS!$G$17, "C", IF(E70&lt;ESCALAS!$G$18, "D", IF(E70&gt;ESCALAS!$G$18, "E", "")))))</f>
        <v>#DIV/0!</v>
      </c>
      <c r="F71" s="63"/>
    </row>
    <row r="72" spans="1:6" ht="13.5" hidden="1" thickBot="1" x14ac:dyDescent="0.25">
      <c r="A72" s="52"/>
      <c r="B72" s="368"/>
      <c r="C72" s="345" t="s">
        <v>11</v>
      </c>
      <c r="D72" s="55">
        <v>0</v>
      </c>
      <c r="E72" s="175" t="e">
        <f xml:space="preserve"> (43374.76543 + E12 * -287.0177729 + E22 * -12649.46605 + E21 * 14820.5534 + E35/E12 * 87889.66845 + E33 * -6883.13299 + (E17*(IF(E13=0,0,1))) * 5.161325304 + IF(E29=0,0,1) * -2965.068153 + (E24+E25+E26+E27)*E20 * 0.086598693 + E13 * -1550.707937 + (E16*(IF(E13=0,0,1)))*(E18*(IF(E13=0,0,1)))*E13*E12 * 320.4379104 + E15 * -3447.78122 + E14 * -3068.075793 + E13*E12 * -183.95823 + ((E16*(IF(E13=0,0,1)))*(E18*(IF(E13=0,0,1)))/(IF((E17*(IF(E13=0,0,1)))=0,1,(E17*(IF(E13=0,0,1))))))*E12 * -36.33058856 + IF(E27=0,0,1) * 1556.034403 + E30*IMABS(E33-1) * 466.3193342 + (E16*(IF(E13=0,0,1))) * -3114.982343 + E35 * -3219.509802 + E29*E33 * 331.0299761 + E28 * 220.0300663)/1000</f>
        <v>#DIV/0!</v>
      </c>
      <c r="F72" s="63"/>
    </row>
    <row r="73" spans="1:6" ht="13.5" hidden="1" thickBot="1" x14ac:dyDescent="0.25">
      <c r="A73" s="52"/>
      <c r="B73" s="368"/>
      <c r="C73" s="345"/>
      <c r="D73" s="55">
        <v>0.5</v>
      </c>
      <c r="E73" s="175" t="e">
        <f>IF(E72&lt;ESCALAS!$H$15, "A", IF(E72&lt;ESCALAS!$H$16,"B", IF(E72&lt;ESCALAS!$H$17, "C", IF(E72&lt;ESCALAS!$H$18, "D", IF(E72&gt;ESCALAS!$H$18, "E", "")))))</f>
        <v>#DIV/0!</v>
      </c>
      <c r="F73" s="63"/>
    </row>
    <row r="74" spans="1:6" ht="13.5" hidden="1" thickBot="1" x14ac:dyDescent="0.25">
      <c r="B74" s="369" t="s">
        <v>14</v>
      </c>
      <c r="C74" s="344" t="s">
        <v>6</v>
      </c>
      <c r="D74" s="55">
        <v>1</v>
      </c>
      <c r="E74" s="175" t="e">
        <f>(( 298699.563 + E35*E12 * 620.64 + E15*E12 * 8314.496 + E37 * -198260.208 + E34*E20 * -1.194 + E14*E12 * 5881.999 + (E19*E21/E20)*(E24+E25+E26+E27) * 923.941 + E13*E12 * 3090.563 + E29*E39 * 4325.616 + E16*E18*E13*E12 * -1.728 + E21 * -86128.15 + E30*E39 * 3777.324 + E19 * -57706.666 + E25 * -5503.373 + E32 * 79769.314 + E22 * 63010.576 + E34 * 6372.943 + (E24+E25+E26+E27)*E20 * -3.505 + E38 * 3558.661 + (E16*E18/E17)*E12 * 986.593 + (E24+E25+E26+E27) * 17709.262 + E24*E21 * -1889.736 + E35 * -75954.953 + E33 * 26362.996 + E25*E21 * -1593.427 + E16 * 4000.912 + E17 * -44.865 + E20 * 70.681 + E29 * 20177.453 + E28*E32 * -43565.157 + E24*E19 * 3414.205 + E25*E19 * 3099.252 + E31*E32 * -48984.907 + E13 * 147203.116 + E18 * -136860.726 + E31*E39 * 3541.891 + E28*E39 * 3326.543 + E27*E21 * -9946.801 + E26*E21 * -9318.63 + E24 * -9418.871 + E30*E32 * -53392.697 + E29*E32 * -47868.104 + E14 * 30810.932 + E15 * 27238.852 + E30 * 16614.694 + E31*IMABS(E33-1) * -16143.487 + E24*E19*E21 * -3226.219 + E25*E19*E21 * -2820.982 + E31 * 17484.409 + E31*E33 * -20536.51 + IF(E25=0,0,1) * -17090.252 + E28*IMABS(E33-1) * -14060.875 + E28*E33 * -21052.274 + E28 * 11212.923)/1000) /E12</f>
        <v>#DIV/0!</v>
      </c>
      <c r="F74" s="63"/>
    </row>
    <row r="75" spans="1:6" ht="13.5" hidden="1" thickBot="1" x14ac:dyDescent="0.25">
      <c r="B75" s="370"/>
      <c r="C75" s="344"/>
      <c r="D75" s="64"/>
      <c r="E75" s="175" t="e">
        <f>IF(E74&lt;ESCALAS!$B$25, "A", IF(E74&lt;ESCALAS!$B$26,"B", IF(E74&lt;ESCALAS!$B$27, "C", IF(E74&lt;ESCALAS!$B$28, "D", IF(E74&gt;ESCALAS!$B$28, "E", "")))))</f>
        <v>#DIV/0!</v>
      </c>
      <c r="F75" s="63"/>
    </row>
    <row r="76" spans="1:6" ht="13.5" hidden="1" thickBot="1" x14ac:dyDescent="0.25">
      <c r="B76" s="370"/>
      <c r="C76" s="344" t="s">
        <v>7</v>
      </c>
      <c r="D76" s="62"/>
      <c r="E76" s="175" t="e">
        <f>((241750.739 + E35*E12 * 2596.578 + E22 * 48773.966 + E15*E12 * 4579.321 + E37 * -107685.313 + IF(E25=0,0,1) * -9454.813 + E34*E20 * -1.083 + (E19*E21/E20)*(E24+E25+E26+E27) * 549.605 + E21 * -55376.626 + (E16*E18/E17)*E12 * 677.786 + E28*E32 * -9966.523 + E14*E12 * 1940.457 + E13*E12 * 2200.75 + E16*E18*E13*E12 * -1.135 + E12 * -4948.35 + E29*E39 * 2298.395 + E19 * -30991.823 + E30*E39 * 1937.799 + E25 * -1316.29 + (E24+E25+E26+E27)*E20 * -2.632 + E34 * 594.611 + E24*E21 * -1296.994 + E38 * 1383.905 + E17 * -31 + E13 * 77335.684 + E20 * 59.266 + E18 * -63182.966 + E25*E21 * -914.099 + E29 * 5547.583 + E24*E19 * 2189.335 + E25*E19 * 1814.481 + E15 * 20607.874 + E35/E12 * -298542.715 + E31*E32 * -10004.11 + E31*E39 * 1830.807 + E14 * 11788.638 + E33 * 7671.479 + (E24+E25+E26+E27) * 5175.141 + E28*E39 * 1579.388 + E28 * -7565.449 + E25*E19*E21 * -1763.732 + E30*E32 * -7381.679 + E24*E19*E21 * -2164.848 + E24 * -4623.174 + E23 * -7636.798 + E31 * -2621.933 + E26*E21 * -3795.605 + E27*E21 * -3772.944 + E29*E33 * -7024.229 + E29*IMABS(E33-1) * -3591.401)/1000)/E12</f>
        <v>#DIV/0!</v>
      </c>
      <c r="F76" s="63"/>
    </row>
    <row r="77" spans="1:6" ht="13.5" hidden="1" thickBot="1" x14ac:dyDescent="0.25">
      <c r="B77" s="370"/>
      <c r="C77" s="344"/>
      <c r="D77" s="67" t="s">
        <v>215</v>
      </c>
      <c r="E77" s="175" t="e">
        <f>IF(E76&lt;ESCALAS!$C$25, "A", IF(E76&lt;ESCALAS!$C$26,"B", IF(E76&lt;ESCALAS!$C$27, "C", IF(E76&lt;ESCALAS!$C$28, "D", IF(E76&gt;ESCALAS!$C$28, "E", "")))))</f>
        <v>#DIV/0!</v>
      </c>
      <c r="F77" s="63"/>
    </row>
    <row r="78" spans="1:6" ht="13.5" hidden="1" thickBot="1" x14ac:dyDescent="0.25">
      <c r="A78" s="69"/>
      <c r="B78" s="370"/>
      <c r="C78" s="345" t="s">
        <v>2</v>
      </c>
      <c r="D78" s="67" t="s">
        <v>216</v>
      </c>
      <c r="E78" s="175" t="e">
        <f xml:space="preserve"> (6981.8136 + E20 * 0.3717 + E12 * -122.4306 + IF(E25=0,0,1) * 1557.3444 + E22 * 2109.4866 + E14 * 2802.3931 + E15 * 2479.9604 + (E16*(IF(E13=0,0,1))) * 394.0458 + E21 * -2521.9122 + (E17*(IF(E13=0,0,1))) * -1.228 + (E24+E25+E26+E27) * 65.437 + E29 * 131.7352 + IF(E28=0,0,1) * -543.4286 + ((E16*(IF(E13=0,0,1)))*(E18*(IF(E13=0,0,1)))/(IF((E17*(IF(E13=0,0,1)))=0,1,(E17*(IF(E13=0,0,1))))))*E12 * 14.0555 + E23 * -1583.9814 + E19 * 990.0915 + E32 * -1111.1099 + E13 * 4323.9241 + (E18*(IF(E13=0,0,1))) * -3315.0119 + E35 * 1262.6737 + (E24+E25+E26+E27)*E20 * -0.0219 + E24*E21 * -75.937 + E25*E21 * -80.3345 + E35/E12 * -15281.1938)/1000</f>
        <v>#DIV/0!</v>
      </c>
      <c r="F78" s="63"/>
    </row>
    <row r="79" spans="1:6" ht="13.5" hidden="1" thickBot="1" x14ac:dyDescent="0.25">
      <c r="A79" s="70"/>
      <c r="B79" s="370"/>
      <c r="C79" s="345"/>
      <c r="E79" s="175" t="e">
        <f>IF(E78&lt;ESCALAS!$D$25, "A", IF(E78&lt;ESCALAS!$D$26,"B", IF(E78&lt;ESCALAS!$D$27, "C", IF(E78&lt;ESCALAS!$D$28, "D", IF(E78&gt;ESCALAS!$D$28, "E", "")))))</f>
        <v>#DIV/0!</v>
      </c>
      <c r="F79" s="63"/>
    </row>
    <row r="80" spans="1:6" ht="13.5" hidden="1" thickBot="1" x14ac:dyDescent="0.25">
      <c r="A80" s="71"/>
      <c r="B80" s="370"/>
      <c r="C80" s="345" t="s">
        <v>8</v>
      </c>
      <c r="E80" s="175">
        <f>(-384.1715 +E22 * 1948.7618 +E12 * 223.8195 +E33 * 849.5126 +E25*E19 * 2.6903 +((E16*(IF(E13=0,0,1)))*(E18*(IF(E13=0,0,1)))/(IF((E17*(IF(E13=0,0,1)))=0,1,(E17*(IF(E13=0,0,1))))))*E12 * 19.6424 +E15 * 1478.9254 +E21 * -2161.0869 +E13*E12 * 12.1332 +E23 * -267.3459 +E32 * -1788.6294 +(E17*(IF(E13=0,0,1))) * -1.0283 +E13 * 4447.7162 +(E18*(IF(E13=0,0,1))) * -3292.0955 +E29 * 40.9503 +IF(E28=0,0,1) * -272.8337 +(E24+E25+E26+E27) * 49.0402 +E14 * 434.3085 +E19 * 591.0911 +IF(E24=0,0,1) * -120.6 +(E16*(IF(E13=0,0,1))) * -742.1948 +(E24+E25+E26+E27)*E20 * -0.0169 +IF(E25=0,0,1) * 851.626 +E24*E19*E21 * -34.3625 +E35 * 1636.1082 +E25*E19*E21 * -29.7849 +E35*E12 * -104.072)/1000</f>
        <v>-0.3841715</v>
      </c>
      <c r="F80" s="63"/>
    </row>
    <row r="81" spans="1:6" ht="13.5" hidden="1" thickBot="1" x14ac:dyDescent="0.25">
      <c r="A81" s="71"/>
      <c r="B81" s="370"/>
      <c r="C81" s="345"/>
      <c r="D81" s="55"/>
      <c r="E81" s="175" t="str">
        <f>IF(E80&lt;ESCALAS!$E$25, "A", IF(E80&lt;ESCALAS!$E$26,"B", IF(E80&lt;ESCALAS!$E$27, "C", IF(E80&lt;ESCALAS!$E$28, "D", IF(E80&gt;ESCALAS!$E$18, "E", "")))))</f>
        <v>A</v>
      </c>
      <c r="F81" s="63"/>
    </row>
    <row r="82" spans="1:6" x14ac:dyDescent="0.2">
      <c r="A82" s="71"/>
      <c r="B82" s="69"/>
      <c r="C82" s="69"/>
      <c r="D82" s="69"/>
      <c r="E82" s="69"/>
      <c r="F82" s="69"/>
    </row>
    <row r="83" spans="1:6" ht="13.5" thickBot="1" x14ac:dyDescent="0.25">
      <c r="A83" s="71"/>
      <c r="B83" s="70"/>
      <c r="C83" s="70"/>
      <c r="D83" s="70"/>
      <c r="E83" s="70"/>
      <c r="F83" s="70"/>
    </row>
    <row r="84" spans="1:6" ht="13.5" customHeight="1" thickBot="1" x14ac:dyDescent="0.25">
      <c r="A84" s="71"/>
      <c r="B84" s="363" t="s">
        <v>171</v>
      </c>
      <c r="C84" s="364"/>
      <c r="D84" s="364"/>
      <c r="E84" s="121"/>
      <c r="F84" s="73"/>
    </row>
    <row r="85" spans="1:6" ht="13.5" customHeight="1" x14ac:dyDescent="0.2">
      <c r="A85" s="71"/>
      <c r="B85" s="336" t="s">
        <v>64</v>
      </c>
      <c r="C85" s="333" t="s">
        <v>65</v>
      </c>
      <c r="D85" s="117" t="s">
        <v>282</v>
      </c>
      <c r="E85" s="330"/>
      <c r="F85" s="73"/>
    </row>
    <row r="86" spans="1:6" ht="13.5" customHeight="1" thickBot="1" x14ac:dyDescent="0.25">
      <c r="A86" s="71"/>
      <c r="B86" s="337"/>
      <c r="C86" s="335"/>
      <c r="D86" s="78" t="s">
        <v>283</v>
      </c>
      <c r="E86" s="321" t="str">
        <f>IF(OR(E10="ZB1",E10="ZB2"),E87,IF(OR(E10="ZB3",E10="ZB4",E10="ZB5",E10="ZB6",E10="ZB7"),E88,E89))</f>
        <v>Não</v>
      </c>
      <c r="F86" s="73"/>
    </row>
    <row r="87" spans="1:6" ht="13.5" hidden="1" thickBot="1" x14ac:dyDescent="0.25">
      <c r="A87" s="71"/>
      <c r="B87" s="337"/>
      <c r="C87" s="176"/>
      <c r="D87" s="88" t="s">
        <v>66</v>
      </c>
      <c r="E87" s="319" t="str">
        <f>IF(E19&lt;=2.5,IF(E85&gt;=130,"Sim","Não"),"Não")</f>
        <v>Não</v>
      </c>
      <c r="F87" s="73"/>
    </row>
    <row r="88" spans="1:6" ht="13.5" hidden="1" thickBot="1" x14ac:dyDescent="0.25">
      <c r="A88" s="71"/>
      <c r="B88" s="337"/>
      <c r="C88" s="176"/>
      <c r="D88" s="89" t="s">
        <v>68</v>
      </c>
      <c r="E88" s="320" t="str">
        <f>IF(E21&lt;=0.6,IF(E19&lt;=3.7,IF(E85&gt;=130,"Sim","Não"),"Não"),IF(E19&lt;=2.5,IF(E85&gt;=130,"Sim","Não"),"Não"))</f>
        <v>Não</v>
      </c>
      <c r="F88" s="73"/>
    </row>
    <row r="89" spans="1:6" ht="15" hidden="1" customHeight="1" thickBot="1" x14ac:dyDescent="0.25">
      <c r="A89" s="71"/>
      <c r="B89" s="337"/>
      <c r="C89" s="177"/>
      <c r="D89" s="90" t="s">
        <v>11</v>
      </c>
      <c r="E89" s="321" t="str">
        <f>IF(E21&lt;=0.6,IF(E19&lt;=3.7,"Sim","Não"),IF(E19&lt;=2.5,"Sim","Não"))</f>
        <v>Sim</v>
      </c>
      <c r="F89" s="74"/>
    </row>
    <row r="90" spans="1:6" ht="26.25" thickBot="1" x14ac:dyDescent="0.25">
      <c r="A90" s="71"/>
      <c r="B90" s="337"/>
      <c r="C90" s="86" t="s">
        <v>0</v>
      </c>
      <c r="D90" s="87" t="s">
        <v>70</v>
      </c>
      <c r="E90" s="318" t="str">
        <f>IF(OR(E10="ZB1",E10="ZB2"),E91,IF(OR(E10="ZB3",E10="ZB4",E10="ZB5",E10="ZB6"),E92,E93))</f>
        <v>Sim</v>
      </c>
      <c r="F90" s="74"/>
    </row>
    <row r="91" spans="1:6" ht="13.5" hidden="1" customHeight="1" x14ac:dyDescent="0.2">
      <c r="A91" s="71"/>
      <c r="B91" s="337"/>
      <c r="C91" s="167"/>
      <c r="D91" s="88" t="s">
        <v>66</v>
      </c>
      <c r="E91" s="115" t="str">
        <f>IF(E16&lt;=2.3,"Sim","Não")</f>
        <v>Sim</v>
      </c>
      <c r="F91" s="74"/>
    </row>
    <row r="92" spans="1:6" ht="13.5" hidden="1" customHeight="1" x14ac:dyDescent="0.2">
      <c r="A92" s="71"/>
      <c r="B92" s="337"/>
      <c r="C92" s="167"/>
      <c r="D92" s="89" t="s">
        <v>67</v>
      </c>
      <c r="E92" s="116" t="str">
        <f>IF(E18&lt;=0.6,IF(E16&lt;=2.3,"Sim","Não"),IF(E16&lt;=1.5,"Sim","Não"))</f>
        <v>Sim</v>
      </c>
      <c r="F92" s="74"/>
    </row>
    <row r="93" spans="1:6" ht="13.5" hidden="1" customHeight="1" thickBot="1" x14ac:dyDescent="0.25">
      <c r="A93" s="71"/>
      <c r="B93" s="337"/>
      <c r="C93" s="168"/>
      <c r="D93" s="90" t="s">
        <v>69</v>
      </c>
      <c r="E93" s="114" t="str">
        <f>IF(E18&lt;=0.4,IF(E16&lt;=2.3,"Sim","Não"),IF(E16&lt;=1.5,"Sim","Não"))</f>
        <v>Sim</v>
      </c>
      <c r="F93" s="74"/>
    </row>
    <row r="94" spans="1:6" x14ac:dyDescent="0.2">
      <c r="A94" s="71"/>
      <c r="B94" s="337"/>
      <c r="C94" s="333" t="s">
        <v>217</v>
      </c>
      <c r="D94" s="77" t="s">
        <v>178</v>
      </c>
      <c r="E94" s="145"/>
      <c r="F94" s="74"/>
    </row>
    <row r="95" spans="1:6" x14ac:dyDescent="0.2">
      <c r="A95" s="71"/>
      <c r="B95" s="337"/>
      <c r="C95" s="334"/>
      <c r="D95" s="80" t="s">
        <v>213</v>
      </c>
      <c r="E95" s="191"/>
      <c r="F95" s="74"/>
    </row>
    <row r="96" spans="1:6" ht="25.5" customHeight="1" thickBot="1" x14ac:dyDescent="0.25">
      <c r="A96" s="71"/>
      <c r="B96" s="337"/>
      <c r="C96" s="335"/>
      <c r="D96" s="78" t="s">
        <v>214</v>
      </c>
      <c r="E96" s="192"/>
      <c r="F96" s="74"/>
    </row>
    <row r="97" spans="1:6" ht="25.5" x14ac:dyDescent="0.2">
      <c r="A97" s="71"/>
      <c r="B97" s="337"/>
      <c r="C97" s="334" t="s">
        <v>71</v>
      </c>
      <c r="D97" s="94" t="s">
        <v>275</v>
      </c>
      <c r="E97" s="146"/>
      <c r="F97" s="74"/>
    </row>
    <row r="98" spans="1:6" x14ac:dyDescent="0.2">
      <c r="A98" s="71"/>
      <c r="B98" s="337"/>
      <c r="C98" s="334"/>
      <c r="D98" s="89" t="s">
        <v>72</v>
      </c>
      <c r="E98" s="83" t="e">
        <f>IF(E95="Sim",IF(E94="Sim",IF(E96&gt;15,(E97/15)*100,(E97/E96)*100),(E97/E96)*100),IF(E94="Sim",IF(E12&gt;15,(E97/15)*100,(E97/E12)*100),(E97/E12)*100))</f>
        <v>#DIV/0!</v>
      </c>
      <c r="F98" s="74"/>
    </row>
    <row r="99" spans="1:6" ht="13.5" thickBot="1" x14ac:dyDescent="0.25">
      <c r="A99" s="71"/>
      <c r="B99" s="337"/>
      <c r="C99" s="335"/>
      <c r="D99" s="91" t="s">
        <v>73</v>
      </c>
      <c r="E99" s="117" t="e">
        <f>IF(E98&gt;=12.5,"sim","não")</f>
        <v>#DIV/0!</v>
      </c>
      <c r="F99" s="74"/>
    </row>
    <row r="100" spans="1:6" ht="25.5" x14ac:dyDescent="0.2">
      <c r="A100" s="71"/>
      <c r="B100" s="337"/>
      <c r="C100" s="341" t="s">
        <v>74</v>
      </c>
      <c r="D100" s="92" t="s">
        <v>75</v>
      </c>
      <c r="E100" s="129"/>
      <c r="F100" s="74"/>
    </row>
    <row r="101" spans="1:6" x14ac:dyDescent="0.2">
      <c r="A101" s="71"/>
      <c r="B101" s="337"/>
      <c r="C101" s="342"/>
      <c r="D101" s="89" t="s">
        <v>76</v>
      </c>
      <c r="E101" s="83" t="e">
        <f>IF(E95="Sim",IF(E94="Sim",IF(E96&gt;15,(E100/15)*100,(E100/E96)*100),(E100/E96)*100),IF(E94="Sim",IF(E12&gt;15,(E100/15)*100,(E100/E12)*100),(E100/E12)*100))</f>
        <v>#DIV/0!</v>
      </c>
      <c r="F101" s="74"/>
    </row>
    <row r="102" spans="1:6" x14ac:dyDescent="0.2">
      <c r="A102" s="71"/>
      <c r="B102" s="337"/>
      <c r="C102" s="342"/>
      <c r="D102" s="89" t="s">
        <v>92</v>
      </c>
      <c r="E102" s="80" t="e">
        <f>IF(OR(E10="ZB1",E10="ZB2",E10="ZB3",E10="ZB4",E10="ZB5",E10="ZB6"),E103,IF(E10="ZB7",E104,E105))</f>
        <v>#DIV/0!</v>
      </c>
      <c r="F102" s="74"/>
    </row>
    <row r="103" spans="1:6" ht="12.75" hidden="1" customHeight="1" x14ac:dyDescent="0.2">
      <c r="A103" s="69"/>
      <c r="B103" s="337"/>
      <c r="C103" s="342"/>
      <c r="D103" s="89" t="s">
        <v>78</v>
      </c>
      <c r="E103" s="80" t="e">
        <f>IF(E101&gt;=8,"Sim","Não")</f>
        <v>#DIV/0!</v>
      </c>
      <c r="F103" s="74"/>
    </row>
    <row r="104" spans="1:6" ht="12.75" hidden="1" customHeight="1" x14ac:dyDescent="0.2">
      <c r="B104" s="337"/>
      <c r="C104" s="342"/>
      <c r="D104" s="89" t="s">
        <v>10</v>
      </c>
      <c r="E104" s="116" t="e">
        <f>IF(E101&gt;=5,"Sim","Não")</f>
        <v>#DIV/0!</v>
      </c>
      <c r="F104" s="74"/>
    </row>
    <row r="105" spans="1:6" ht="12.75" hidden="1" customHeight="1" x14ac:dyDescent="0.2">
      <c r="B105" s="337"/>
      <c r="C105" s="342"/>
      <c r="D105" s="89" t="s">
        <v>11</v>
      </c>
      <c r="E105" s="116" t="e">
        <f>IF(E101&gt;=10,"Sim","Não")</f>
        <v>#DIV/0!</v>
      </c>
      <c r="F105" s="74"/>
    </row>
    <row r="106" spans="1:6" ht="42" customHeight="1" x14ac:dyDescent="0.2">
      <c r="B106" s="337"/>
      <c r="C106" s="342"/>
      <c r="D106" s="89" t="s">
        <v>79</v>
      </c>
      <c r="E106" s="131"/>
      <c r="F106" s="74"/>
    </row>
    <row r="107" spans="1:6" ht="25.5" x14ac:dyDescent="0.2">
      <c r="B107" s="337"/>
      <c r="C107" s="342"/>
      <c r="D107" s="89" t="s">
        <v>80</v>
      </c>
      <c r="E107" s="131"/>
      <c r="F107" s="74"/>
    </row>
    <row r="108" spans="1:6" ht="38.25" x14ac:dyDescent="0.2">
      <c r="B108" s="337"/>
      <c r="C108" s="342"/>
      <c r="D108" s="89" t="s">
        <v>81</v>
      </c>
      <c r="E108" s="131"/>
      <c r="F108" s="74"/>
    </row>
    <row r="109" spans="1:6" ht="13.5" thickBot="1" x14ac:dyDescent="0.25">
      <c r="B109" s="338"/>
      <c r="C109" s="343"/>
      <c r="D109" s="90" t="s">
        <v>77</v>
      </c>
      <c r="E109" s="114" t="str">
        <f>IF(E108="Sim","Sim",IF(E107="Sim","Sim","Não"))</f>
        <v>Não</v>
      </c>
      <c r="F109" s="74"/>
    </row>
    <row r="110" spans="1:6" hidden="1" x14ac:dyDescent="0.2">
      <c r="B110" s="72"/>
      <c r="C110" s="173"/>
      <c r="D110" s="193" t="s">
        <v>230</v>
      </c>
      <c r="E110" s="193">
        <f t="shared" ref="E110:E117" si="0">IF(E24=0,0,1)</f>
        <v>0</v>
      </c>
      <c r="F110" s="75"/>
    </row>
    <row r="111" spans="1:6" hidden="1" x14ac:dyDescent="0.2">
      <c r="B111" s="201"/>
      <c r="C111" s="202"/>
      <c r="D111" s="194" t="s">
        <v>231</v>
      </c>
      <c r="E111" s="193">
        <f t="shared" si="0"/>
        <v>0</v>
      </c>
      <c r="F111" s="75"/>
    </row>
    <row r="112" spans="1:6" hidden="1" x14ac:dyDescent="0.2">
      <c r="B112" s="201"/>
      <c r="C112" s="202"/>
      <c r="D112" s="194" t="s">
        <v>232</v>
      </c>
      <c r="E112" s="193">
        <f t="shared" si="0"/>
        <v>0</v>
      </c>
      <c r="F112" s="75"/>
    </row>
    <row r="113" spans="2:6" hidden="1" x14ac:dyDescent="0.2">
      <c r="B113" s="201"/>
      <c r="C113" s="202"/>
      <c r="D113" s="194" t="s">
        <v>233</v>
      </c>
      <c r="E113" s="193">
        <f t="shared" si="0"/>
        <v>0</v>
      </c>
      <c r="F113" s="75"/>
    </row>
    <row r="114" spans="2:6" hidden="1" x14ac:dyDescent="0.2">
      <c r="B114" s="201"/>
      <c r="C114" s="202"/>
      <c r="D114" s="194" t="s">
        <v>218</v>
      </c>
      <c r="E114" s="193">
        <f t="shared" si="0"/>
        <v>0</v>
      </c>
      <c r="F114" s="75"/>
    </row>
    <row r="115" spans="2:6" hidden="1" x14ac:dyDescent="0.2">
      <c r="B115" s="201"/>
      <c r="C115" s="202"/>
      <c r="D115" s="194" t="s">
        <v>219</v>
      </c>
      <c r="E115" s="193">
        <f t="shared" si="0"/>
        <v>0</v>
      </c>
      <c r="F115" s="75"/>
    </row>
    <row r="116" spans="2:6" hidden="1" x14ac:dyDescent="0.2">
      <c r="B116" s="201"/>
      <c r="C116" s="202"/>
      <c r="D116" s="194" t="s">
        <v>220</v>
      </c>
      <c r="E116" s="193">
        <f t="shared" si="0"/>
        <v>0</v>
      </c>
      <c r="F116" s="75"/>
    </row>
    <row r="117" spans="2:6" hidden="1" x14ac:dyDescent="0.2">
      <c r="B117" s="201"/>
      <c r="C117" s="202"/>
      <c r="D117" s="194" t="s">
        <v>221</v>
      </c>
      <c r="E117" s="193">
        <f t="shared" si="0"/>
        <v>0</v>
      </c>
      <c r="F117" s="75"/>
    </row>
    <row r="118" spans="2:6" ht="13.5" customHeight="1" x14ac:dyDescent="0.2">
      <c r="B118" s="201"/>
      <c r="C118" s="202"/>
      <c r="D118" s="203"/>
      <c r="E118" s="203"/>
      <c r="F118" s="75"/>
    </row>
    <row r="119" spans="2:6" ht="13.5" thickBot="1" x14ac:dyDescent="0.25">
      <c r="B119" s="70"/>
      <c r="C119" s="70"/>
      <c r="D119" s="76"/>
      <c r="E119" s="76"/>
      <c r="F119" s="75"/>
    </row>
    <row r="120" spans="2:6" ht="26.25" thickBot="1" x14ac:dyDescent="0.25">
      <c r="B120" s="333" t="s">
        <v>131</v>
      </c>
      <c r="C120" s="322"/>
      <c r="D120" s="82" t="s">
        <v>132</v>
      </c>
      <c r="E120" s="87"/>
      <c r="F120" s="55"/>
    </row>
    <row r="121" spans="2:6" x14ac:dyDescent="0.2">
      <c r="B121" s="334"/>
      <c r="C121" s="339" t="s">
        <v>122</v>
      </c>
      <c r="D121" s="93" t="e">
        <f>IF(D122&gt;=4.495,"A",IF((D122&lt;4.495)*(D122&gt;=3.495),"B",IF((D122&lt;3.495)*(D122&gt;=2.495),"C",IF((D122&lt;2.495)*(D122&gt;=1.495),"D","E"))))</f>
        <v>#DIV/0!</v>
      </c>
      <c r="E121" s="93" t="e">
        <f>IF(OR(E40="A",E40="B"),IF(OR(E86="Não",E90="Não",E99="Não",E102="Não",E109="Não"),"C",E40),E40)</f>
        <v>#DIV/0!</v>
      </c>
      <c r="F121" s="55"/>
    </row>
    <row r="122" spans="2:6" ht="13.5" thickBot="1" x14ac:dyDescent="0.25">
      <c r="B122" s="334"/>
      <c r="C122" s="340"/>
      <c r="D122" s="181" t="e">
        <f>SUMPRODUCT($F$122:$G$122,$F$12:$G$12)/SUM($F$12:$G$12)</f>
        <v>#DIV/0!</v>
      </c>
      <c r="E122" s="180" t="e">
        <f>IF(E121="A",5,IF(E121="B",4,IF(E121="C",3,IF(E121="D",2,1))))</f>
        <v>#DIV/0!</v>
      </c>
    </row>
    <row r="123" spans="2:6" x14ac:dyDescent="0.2">
      <c r="B123" s="334"/>
      <c r="C123" s="339" t="s">
        <v>123</v>
      </c>
      <c r="D123" s="93" t="e">
        <f>IF(OR(E10="ZB5",E10="ZB6",E10="ZB7",E10="ZB8"),"Não se aplica",IF(D124&gt;=4.495,"A",IF((D124&lt;4.495)*(D124&gt;=3.495),"B",IF((D124&lt;3.495)*(D124&gt;=2.495),"C",IF((D124&lt;2.495)*(D124&gt;=1.495),"D","E")))))</f>
        <v>#DIV/0!</v>
      </c>
      <c r="E123" s="77" t="e">
        <f>IF(OR(E10="ZB5",E10="ZB6",E10="ZB7",E10="ZB8"),"Não se aplica",IF(OR(E42="A",E42="B"),IF(OR(E86="Não",E90="Não",E99="Não"),"C",E42),E42))</f>
        <v>#DIV/0!</v>
      </c>
    </row>
    <row r="124" spans="2:6" ht="13.5" thickBot="1" x14ac:dyDescent="0.25">
      <c r="B124" s="334"/>
      <c r="C124" s="340"/>
      <c r="D124" s="181" t="e">
        <f>SUMPRODUCT($F$124:$G$124,$F$12:$G$12)/SUM($F$12:$G$12)</f>
        <v>#DIV/0!</v>
      </c>
      <c r="E124" s="84" t="e">
        <f>IF(E123="A",5,IF(E123="B",4,IF(E123="C",3,IF(E123="D",2,IF(E123="E",1,"Não se aplica")))))</f>
        <v>#DIV/0!</v>
      </c>
    </row>
    <row r="125" spans="2:6" x14ac:dyDescent="0.2">
      <c r="B125" s="334"/>
      <c r="C125" s="339" t="s">
        <v>130</v>
      </c>
      <c r="D125" s="93" t="e">
        <f>IF(D126&gt;=4.495,"A",IF((D126&lt;4.495)*(D126&gt;=3.495),"B",IF((D126&lt;3.495)*(D126&gt;=2.495),"C",IF((D126&lt;2.495)*(D126&gt;=1.495),"D","E"))))</f>
        <v>#DIV/0!</v>
      </c>
      <c r="E125" s="77" t="e">
        <f>IF(OR(E44="A",E44="B"),IF(OR(E86="Não",E90="Não",E99="Não"),"C",E44),E44)</f>
        <v>#DIV/0!</v>
      </c>
    </row>
    <row r="126" spans="2:6" ht="13.5" thickBot="1" x14ac:dyDescent="0.25">
      <c r="B126" s="335"/>
      <c r="C126" s="340"/>
      <c r="D126" s="180" t="e">
        <f>SUMPRODUCT($F$126:$G$126,$F$12:$G$12)/SUM($F$135:$G$135)</f>
        <v>#DIV/0!</v>
      </c>
      <c r="E126" s="84" t="e">
        <f>IF(E94="Não",0,IF(E125="A",5,IF(E125="B",4,IF(E125="C",3,IF(E125="D",2,1)))))</f>
        <v>#DIV/0!</v>
      </c>
    </row>
    <row r="127" spans="2:6" ht="13.5" customHeight="1" x14ac:dyDescent="0.2">
      <c r="D127" s="352" t="s">
        <v>276</v>
      </c>
    </row>
    <row r="128" spans="2:6" x14ac:dyDescent="0.2">
      <c r="D128" s="353"/>
    </row>
    <row r="129" spans="2:8" x14ac:dyDescent="0.2">
      <c r="D129" s="353"/>
    </row>
    <row r="130" spans="2:8" x14ac:dyDescent="0.2">
      <c r="D130" s="353"/>
    </row>
    <row r="131" spans="2:8" x14ac:dyDescent="0.2">
      <c r="D131" s="353"/>
    </row>
    <row r="132" spans="2:8" x14ac:dyDescent="0.2">
      <c r="D132" s="353"/>
    </row>
    <row r="133" spans="2:8" x14ac:dyDescent="0.2">
      <c r="D133" s="354"/>
    </row>
    <row r="134" spans="2:8" ht="13.5" customHeight="1" x14ac:dyDescent="0.2">
      <c r="C134" s="120"/>
      <c r="D134" s="68"/>
      <c r="E134" s="68"/>
    </row>
    <row r="135" spans="2:8" hidden="1" x14ac:dyDescent="0.2">
      <c r="C135" s="68"/>
      <c r="D135" s="68"/>
      <c r="E135" s="68" t="e">
        <f>IF(E126=0,0,E12)</f>
        <v>#DIV/0!</v>
      </c>
      <c r="F135" s="68">
        <f>IF($F$126=0,0,$F$12)</f>
        <v>0</v>
      </c>
      <c r="G135" s="68">
        <f>IF($G$126=0,0,$G$12)</f>
        <v>0</v>
      </c>
      <c r="H135" s="68"/>
    </row>
    <row r="136" spans="2:8" x14ac:dyDescent="0.2">
      <c r="C136" s="120"/>
      <c r="D136" s="68"/>
      <c r="E136" s="68"/>
    </row>
    <row r="137" spans="2:8" x14ac:dyDescent="0.2">
      <c r="C137" s="120"/>
      <c r="D137" s="68"/>
      <c r="E137" s="68"/>
    </row>
    <row r="138" spans="2:8" x14ac:dyDescent="0.2">
      <c r="C138" s="120"/>
      <c r="D138" s="55"/>
      <c r="E138" s="55"/>
    </row>
    <row r="139" spans="2:8" hidden="1" x14ac:dyDescent="0.2">
      <c r="B139" s="55">
        <v>0</v>
      </c>
      <c r="D139" s="55"/>
      <c r="E139" s="55"/>
    </row>
    <row r="140" spans="2:8" hidden="1" x14ac:dyDescent="0.2">
      <c r="B140" s="55">
        <v>0.5</v>
      </c>
      <c r="D140" s="55"/>
      <c r="E140" s="55"/>
    </row>
    <row r="141" spans="2:8" hidden="1" x14ac:dyDescent="0.2">
      <c r="B141" s="55">
        <v>1</v>
      </c>
      <c r="D141" s="55"/>
      <c r="E141" s="55"/>
    </row>
    <row r="142" spans="2:8" x14ac:dyDescent="0.2">
      <c r="D142" s="55"/>
      <c r="E142" s="55"/>
    </row>
    <row r="143" spans="2:8" x14ac:dyDescent="0.2">
      <c r="D143" s="55"/>
      <c r="E143" s="55"/>
    </row>
    <row r="144" spans="2:8" x14ac:dyDescent="0.2">
      <c r="D144" s="55"/>
      <c r="E144" s="55"/>
    </row>
    <row r="145" spans="4:5" x14ac:dyDescent="0.2">
      <c r="D145" s="55"/>
      <c r="E145" s="55"/>
    </row>
  </sheetData>
  <sheetProtection password="DCFB" sheet="1" objects="1" scenarios="1"/>
  <dataConsolidate/>
  <mergeCells count="53">
    <mergeCell ref="B6:D7"/>
    <mergeCell ref="B9:C9"/>
    <mergeCell ref="B24:B27"/>
    <mergeCell ref="B28:B31"/>
    <mergeCell ref="B46:B59"/>
    <mergeCell ref="C56:C57"/>
    <mergeCell ref="C58:C59"/>
    <mergeCell ref="C46:C47"/>
    <mergeCell ref="C48:C49"/>
    <mergeCell ref="C50:C51"/>
    <mergeCell ref="C52:C53"/>
    <mergeCell ref="C54:C55"/>
    <mergeCell ref="B16:B18"/>
    <mergeCell ref="B19:B21"/>
    <mergeCell ref="D40:D41"/>
    <mergeCell ref="B13:B15"/>
    <mergeCell ref="D127:D133"/>
    <mergeCell ref="D44:D45"/>
    <mergeCell ref="D42:D43"/>
    <mergeCell ref="C44:C45"/>
    <mergeCell ref="B44:B45"/>
    <mergeCell ref="B84:D84"/>
    <mergeCell ref="C42:C43"/>
    <mergeCell ref="B60:B73"/>
    <mergeCell ref="C60:C61"/>
    <mergeCell ref="C62:C63"/>
    <mergeCell ref="C64:C65"/>
    <mergeCell ref="C66:C67"/>
    <mergeCell ref="C68:C69"/>
    <mergeCell ref="C70:C71"/>
    <mergeCell ref="C72:C73"/>
    <mergeCell ref="B74:B81"/>
    <mergeCell ref="C74:C75"/>
    <mergeCell ref="B11:B12"/>
    <mergeCell ref="C76:C77"/>
    <mergeCell ref="C78:C79"/>
    <mergeCell ref="C80:C81"/>
    <mergeCell ref="C40:C41"/>
    <mergeCell ref="B40:B41"/>
    <mergeCell ref="B42:B43"/>
    <mergeCell ref="B22:B23"/>
    <mergeCell ref="B32:B33"/>
    <mergeCell ref="B34:B36"/>
    <mergeCell ref="B37:B39"/>
    <mergeCell ref="C94:C96"/>
    <mergeCell ref="C85:C86"/>
    <mergeCell ref="B85:B109"/>
    <mergeCell ref="C123:C124"/>
    <mergeCell ref="C125:C126"/>
    <mergeCell ref="B120:B126"/>
    <mergeCell ref="C100:C109"/>
    <mergeCell ref="C97:C99"/>
    <mergeCell ref="C121:C122"/>
  </mergeCells>
  <conditionalFormatting sqref="E81:F81 E40:F40 E51:F51 E53:F53 E55:F55 E57:F57 E59:F59 E65:F65 E67:F67 E69:F69 E71:F71 E73:F73 E49:F49 E61:F61 E63:F63 E79:F79 E75:F75 E77:F77 E47:F47">
    <cfRule type="containsText" dxfId="61" priority="1203" operator="containsText" text="E">
      <formula>NOT(ISERROR(SEARCH("E",E40)))</formula>
    </cfRule>
    <cfRule type="containsText" dxfId="60" priority="1204" operator="containsText" text="D">
      <formula>NOT(ISERROR(SEARCH("D",E40)))</formula>
    </cfRule>
    <cfRule type="containsText" dxfId="59" priority="1205" operator="containsText" text="C">
      <formula>NOT(ISERROR(SEARCH("C",E40)))</formula>
    </cfRule>
    <cfRule type="containsText" dxfId="58" priority="1206" operator="containsText" text="B">
      <formula>NOT(ISERROR(SEARCH("B",E40)))</formula>
    </cfRule>
    <cfRule type="containsText" dxfId="57" priority="1207" operator="containsText" text="A">
      <formula>NOT(ISERROR(SEARCH("A",E40)))</formula>
    </cfRule>
  </conditionalFormatting>
  <conditionalFormatting sqref="E44:F44 E42:F42 E40:F40">
    <cfRule type="cellIs" dxfId="56" priority="1198" operator="equal">
      <formula>"E"</formula>
    </cfRule>
    <cfRule type="cellIs" dxfId="55" priority="1199" operator="equal">
      <formula>"D"</formula>
    </cfRule>
    <cfRule type="cellIs" dxfId="54" priority="1200" operator="equal">
      <formula>"C"</formula>
    </cfRule>
    <cfRule type="cellIs" dxfId="53" priority="1201" operator="equal">
      <formula>"B"</formula>
    </cfRule>
    <cfRule type="cellIs" dxfId="52" priority="1202" operator="equal">
      <formula>"A"</formula>
    </cfRule>
  </conditionalFormatting>
  <conditionalFormatting sqref="D121:E121 D123:E123 D125:E125">
    <cfRule type="containsText" dxfId="51" priority="922" operator="containsText" text="E">
      <formula>NOT(ISERROR(SEARCH("E",D121)))</formula>
    </cfRule>
    <cfRule type="containsText" dxfId="50" priority="923" operator="containsText" text="D">
      <formula>NOT(ISERROR(SEARCH("D",D121)))</formula>
    </cfRule>
    <cfRule type="containsText" dxfId="49" priority="924" operator="containsText" text="C">
      <formula>NOT(ISERROR(SEARCH("C",D121)))</formula>
    </cfRule>
    <cfRule type="containsText" dxfId="48" priority="925" operator="containsText" text="B">
      <formula>NOT(ISERROR(SEARCH("B",D121)))</formula>
    </cfRule>
    <cfRule type="containsText" dxfId="47" priority="926" operator="containsText" text="A">
      <formula>NOT(ISERROR(SEARCH("A",D121)))</formula>
    </cfRule>
  </conditionalFormatting>
  <conditionalFormatting sqref="D121:D126 E11:E126">
    <cfRule type="cellIs" dxfId="46" priority="560" operator="equal">
      <formula>"Não se aplica"</formula>
    </cfRule>
  </conditionalFormatting>
  <conditionalFormatting sqref="E86:E109 D121:E126 E11:E45">
    <cfRule type="containsErrors" dxfId="45" priority="278">
      <formula>ISERROR(D11)</formula>
    </cfRule>
  </conditionalFormatting>
  <conditionalFormatting sqref="E33">
    <cfRule type="cellIs" dxfId="44" priority="277" operator="between">
      <formula>0.51</formula>
      <formula>0.99</formula>
    </cfRule>
  </conditionalFormatting>
  <conditionalFormatting sqref="E22:E23">
    <cfRule type="expression" dxfId="43" priority="184">
      <formula>AND($E$22=1,$E$23=1)</formula>
    </cfRule>
  </conditionalFormatting>
  <conditionalFormatting sqref="E85">
    <cfRule type="containsErrors" dxfId="42" priority="81">
      <formula>ISERROR(E85)</formula>
    </cfRule>
  </conditionalFormatting>
  <dataValidations xWindow="729" yWindow="424" count="20">
    <dataValidation type="list" allowBlank="1" showInputMessage="1" showErrorMessage="1" sqref="E94:E95 E108">
      <formula1>$D$77:$D$78</formula1>
    </dataValidation>
    <dataValidation type="list" allowBlank="1" showInputMessage="1" showErrorMessage="1" promptTitle="Obs.:" prompt="CT não pode ser Alta e Baixa ao mesmo tempo" sqref="E23">
      <formula1>"0,1"</formula1>
    </dataValidation>
    <dataValidation type="decimal" allowBlank="1" showInputMessage="1" showErrorMessage="1" errorTitle="Fvent" error="O valor inserido não é válido para os cálculos._x000a__x000a_O intervalor possível para o valor desta variável é de 0 a 1." promptTitle="Fvent" prompt="Relação ΣAbertura para Ventilação/ΣAbertura do Vão." sqref="E32">
      <formula1>0</formula1>
      <formula2>1</formula2>
    </dataValidation>
    <dataValidation type="decimal" allowBlank="1" showInputMessage="1" showErrorMessage="1" promptTitle="Upar" prompt="Deve ser calculada considerando-se todas as camadas entre o interior e o exterior do ambiente." sqref="E19">
      <formula1>0</formula1>
      <formula2>6</formula2>
    </dataValidation>
    <dataValidation type="decimal" allowBlank="1" showInputMessage="1" showErrorMessage="1" errorTitle="αcob" error="O valor inserido não é válido para os cálculos._x000a__x000a_O intervalor possível para o valor desta variável é de 0,10 a 0,99." promptTitle="αcob" prompt=" O valor deve situar-se entre 0,10 e 0,99. Insira 0 (zero) se a cobertura do ambiente não estiver voltada para o exterior." sqref="E18">
      <formula1>0</formula1>
      <formula2>0.99</formula2>
    </dataValidation>
    <dataValidation type="list" allowBlank="1" showInputMessage="1" showErrorMessage="1" sqref="E10">
      <formula1>"ZB1, ZB2,ZB3,ZB4,ZB5,ZB6,ZB7,ZB8"</formula1>
    </dataValidation>
    <dataValidation type="decimal" allowBlank="1" showInputMessage="1" showErrorMessage="1" errorTitle="Somb" error="Você inseriu um número inválido para a variável SOMB._x000a__x000a_Lembre-se: O valor de entrada de Somb deve ser igual ou maior que 0, menor ou igual a 0,5 ou então igual a 1." promptTitle="Somb" prompt="O valor de entrada de Somb deve ser igual ou maior que 0, menor ou igual a 0,5 ou então igual a 1." sqref="E33">
      <formula1>0</formula1>
      <formula2>1</formula2>
    </dataValidation>
    <dataValidation allowBlank="1" showInputMessage="1" showErrorMessage="1" promptTitle="APP" prompt="Identifique a Área de Permanência Prolongada que será avaliada." sqref="E11"/>
    <dataValidation type="decimal" allowBlank="1" showInputMessage="1" showErrorMessage="1" errorTitle="Ucob" error="O valor inserido não é válido para os cálculos._x000a__x000a_O intervalor possível para o valor desta variável é de 0 a 6." promptTitle="Ucob" prompt="Deve ser calculada considerando-se todas as camadas entre o interior e o exterior do ambiente. Se a cobertura do ambiente não estiver voltada para o exterior o valor deve ser 0 (zero);" sqref="E16">
      <formula1>0</formula1>
      <formula2>6</formula2>
    </dataValidation>
    <dataValidation type="decimal" operator="greaterThanOrEqual" allowBlank="1" showInputMessage="1" showErrorMessage="1" promptTitle="CTpar" prompt="Deve ser calculada considerando-se todas as camadas entre o interior e o exterior do ambiente. Se a cobertura do ambiente não estiver voltada para o exterior o valor deve ser 1 (um)." sqref="E17">
      <formula1>0</formula1>
    </dataValidation>
    <dataValidation type="decimal" allowBlank="1" showInputMessage="1" showErrorMessage="1" errorTitle="αpar" error="O valor inserido não é válido para os cálculos._x000a__x000a_O intervalor possível para o valor desta variável é de 0,10 a 0,99." promptTitle="αpar" prompt="O valor deve situar-se entre 0,10 e 0,99." sqref="E21">
      <formula1>0.1</formula1>
      <formula2>0.99</formula2>
    </dataValidation>
    <dataValidation type="decimal" operator="greaterThanOrEqual" allowBlank="1" showInputMessage="1" showErrorMessage="1" promptTitle="CTpar" prompt="Média ponderada da capacidade térmica das paredes externas e internas do ambiente pelas respectivas áreas." sqref="E20">
      <formula1>0</formula1>
    </dataValidation>
    <dataValidation type="list" operator="equal" allowBlank="1" showInputMessage="1" showErrorMessage="1" promptTitle="Obs.:" prompt="CT não pode ser Alta e Baixa ao mesmo tempo" sqref="E22">
      <formula1>"0,1"</formula1>
    </dataValidation>
    <dataValidation type="decimal" operator="greaterThanOrEqual" allowBlank="1" showInputMessage="1" showErrorMessage="1" error="Não é possível inserir um valor negativo para uma Área._x000a__x000a_Favor inserir um dado maior ou igual a 0." sqref="E24:E31">
      <formula1>0</formula1>
    </dataValidation>
    <dataValidation type="decimal" operator="greaterThanOrEqual" allowBlank="1" showInputMessage="1" showErrorMessage="1" error="Não é possível inserir um valor negativo para uma Área._x000a__x000a_Favor inserir um dado maior ou igual a 0." prompt="Desconsidera-se vãos e caixilhos." sqref="E34">
      <formula1>0</formula1>
    </dataValidation>
    <dataValidation type="decimal" operator="greaterThanOrEqual" allowBlank="1" showInputMessage="1" showErrorMessage="1" error="Não é possível inserir um valor negativo para um comprimento._x000a__x000a_Favor inserir um dado maior ou igual a 0." sqref="E35">
      <formula1>0</formula1>
    </dataValidation>
    <dataValidation type="list" allowBlank="1" showInputMessage="1" showErrorMessage="1" prompt="Dado necessário apenas para as Zonas Bioclimáticas 1 e 2. Para as Zonas Bioclimáticas 3 a 8 pode-se deixar esta célula em branco ou preencher com zero" sqref="E37:E38">
      <formula1>"0,1"</formula1>
    </dataValidation>
    <dataValidation allowBlank="1" showInputMessage="1" showErrorMessage="1" prompt="Dado necessário apenas para as Zonas Bioclimáticas 1 e 2. Para as Zonas Bioclimáticas 3 a 8 pode-se deixar esta célula em branco ou preencher com zero" sqref="E39"/>
    <dataValidation type="list" allowBlank="1" showInputMessage="1" showErrorMessage="1" prompt="Obrigatório para as ZB 1 a 7 e nas cidades que possuam médias mensais das temperaturas mínimas abaixo de 20°C. " sqref="E107">
      <formula1>$D$77:$D$78</formula1>
    </dataValidation>
    <dataValidation type="list" allowBlank="1" showInputMessage="1" showErrorMessage="1" sqref="E13:E15">
      <formula1>$B$139:$B$141</formula1>
    </dataValidation>
  </dataValidations>
  <pageMargins left="0.511811024" right="0.511811024" top="0.78740157499999996" bottom="0.78740157499999996" header="0.31496062000000002" footer="0.31496062000000002"/>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142" r:id="rId4" name="Button 94">
              <controlPr locked="0" defaultSize="0" print="0" autoFill="0" autoPict="0" macro="[0]!Limpar">
                <anchor moveWithCells="1" sizeWithCells="1">
                  <from>
                    <xdr:col>5</xdr:col>
                    <xdr:colOff>171450</xdr:colOff>
                    <xdr:row>9</xdr:row>
                    <xdr:rowOff>19050</xdr:rowOff>
                  </from>
                  <to>
                    <xdr:col>5</xdr:col>
                    <xdr:colOff>1181100</xdr:colOff>
                    <xdr:row>9</xdr:row>
                    <xdr:rowOff>619125</xdr:rowOff>
                  </to>
                </anchor>
              </controlPr>
            </control>
          </mc:Choice>
        </mc:AlternateContent>
        <mc:AlternateContent xmlns:mc="http://schemas.openxmlformats.org/markup-compatibility/2006">
          <mc:Choice Requires="x14">
            <control shapeId="2145" r:id="rId5" name="Button 97">
              <controlPr locked="0" defaultSize="0" print="0" autoFill="0" autoPict="0" macro="[0]!Copiar">
                <anchor moveWithCells="1" sizeWithCells="1">
                  <from>
                    <xdr:col>5</xdr:col>
                    <xdr:colOff>85725</xdr:colOff>
                    <xdr:row>10</xdr:row>
                    <xdr:rowOff>57150</xdr:rowOff>
                  </from>
                  <to>
                    <xdr:col>5</xdr:col>
                    <xdr:colOff>1219200</xdr:colOff>
                    <xdr:row>10</xdr:row>
                    <xdr:rowOff>323850</xdr:rowOff>
                  </to>
                </anchor>
              </controlPr>
            </control>
          </mc:Choice>
        </mc:AlternateContent>
        <mc:AlternateContent xmlns:mc="http://schemas.openxmlformats.org/markup-compatibility/2006">
          <mc:Choice Requires="x14">
            <control shapeId="2176" r:id="rId6" name="Button 128">
              <controlPr locked="0" defaultSize="0" print="0" autoFill="0" autoPict="0" macro="[0]!Apagar">
                <anchor moveWithCells="1" sizeWithCells="1">
                  <from>
                    <xdr:col>5</xdr:col>
                    <xdr:colOff>85725</xdr:colOff>
                    <xdr:row>10</xdr:row>
                    <xdr:rowOff>409575</xdr:rowOff>
                  </from>
                  <to>
                    <xdr:col>5</xdr:col>
                    <xdr:colOff>1219200</xdr:colOff>
                    <xdr:row>11</xdr:row>
                    <xdr:rowOff>161925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7"/>
  <dimension ref="B1:BF78"/>
  <sheetViews>
    <sheetView showGridLines="0" zoomScale="85" zoomScaleNormal="85" workbookViewId="0">
      <selection activeCell="E13" sqref="E13"/>
    </sheetView>
  </sheetViews>
  <sheetFormatPr defaultColWidth="25.7109375" defaultRowHeight="12.75" x14ac:dyDescent="0.2"/>
  <cols>
    <col min="1" max="1" width="10.7109375" style="204" customWidth="1"/>
    <col min="2" max="2" width="30.85546875" style="204" customWidth="1"/>
    <col min="3" max="3" width="26.7109375" style="204" customWidth="1"/>
    <col min="4" max="4" width="14.85546875" style="204" customWidth="1"/>
    <col min="5" max="13" width="13.7109375" style="204" customWidth="1"/>
    <col min="14" max="14" width="10.7109375" style="195" hidden="1" customWidth="1"/>
    <col min="15" max="58" width="10.7109375" style="204" hidden="1" customWidth="1"/>
    <col min="59" max="59" width="20.7109375" style="204" customWidth="1"/>
    <col min="60" max="16384" width="25.7109375" style="204"/>
  </cols>
  <sheetData>
    <row r="1" spans="2:58" ht="20.100000000000001" customHeight="1" x14ac:dyDescent="0.2"/>
    <row r="2" spans="2:58" ht="20.100000000000001" customHeight="1" x14ac:dyDescent="0.2"/>
    <row r="3" spans="2:58" ht="20.100000000000001" customHeight="1" x14ac:dyDescent="0.2">
      <c r="B3" s="287"/>
    </row>
    <row r="4" spans="2:58" ht="20.100000000000001" customHeight="1" x14ac:dyDescent="0.2"/>
    <row r="5" spans="2:58" ht="20.100000000000001" customHeight="1" x14ac:dyDescent="0.2"/>
    <row r="6" spans="2:58" ht="20.100000000000001" customHeight="1" x14ac:dyDescent="0.2">
      <c r="B6" s="286" t="s">
        <v>212</v>
      </c>
      <c r="C6" s="200"/>
      <c r="D6" s="200"/>
      <c r="E6" s="206"/>
      <c r="F6" s="155"/>
      <c r="G6" s="155"/>
      <c r="H6" s="155"/>
      <c r="I6" s="155"/>
      <c r="J6" s="155"/>
      <c r="K6" s="155"/>
      <c r="L6" s="155"/>
      <c r="M6" s="155"/>
      <c r="N6" s="232"/>
      <c r="O6" s="155"/>
      <c r="P6" s="155"/>
    </row>
    <row r="7" spans="2:58" ht="20.100000000000001" customHeight="1" x14ac:dyDescent="0.2">
      <c r="B7" s="286" t="s">
        <v>247</v>
      </c>
      <c r="F7" s="200"/>
      <c r="G7" s="200"/>
      <c r="H7" s="200"/>
      <c r="I7" s="200"/>
      <c r="J7" s="200"/>
      <c r="K7" s="200"/>
      <c r="L7" s="200"/>
      <c r="M7" s="200"/>
      <c r="N7" s="233"/>
      <c r="O7" s="200"/>
      <c r="P7" s="200"/>
    </row>
    <row r="8" spans="2:58" ht="20.100000000000001" customHeight="1" x14ac:dyDescent="0.2">
      <c r="B8" s="195"/>
    </row>
    <row r="9" spans="2:58" ht="20.100000000000001" customHeight="1" thickBot="1" x14ac:dyDescent="0.25">
      <c r="B9" s="195"/>
    </row>
    <row r="10" spans="2:58" ht="13.5" customHeight="1" thickBot="1" x14ac:dyDescent="0.25">
      <c r="C10" s="207"/>
      <c r="D10" s="246"/>
      <c r="E10" s="247"/>
      <c r="F10" s="208"/>
      <c r="G10" s="219"/>
      <c r="H10" s="219"/>
      <c r="I10" s="198" t="s">
        <v>235</v>
      </c>
      <c r="J10" s="197">
        <f>'Envoltória e Pré-req dos Amb'!E11</f>
        <v>0</v>
      </c>
      <c r="K10" s="197"/>
      <c r="L10" s="197"/>
      <c r="M10" s="209"/>
      <c r="N10" s="234"/>
      <c r="O10" s="395" t="s">
        <v>240</v>
      </c>
      <c r="P10" s="396"/>
      <c r="Q10" s="396"/>
      <c r="R10" s="396"/>
      <c r="S10" s="396"/>
      <c r="T10" s="396"/>
      <c r="U10" s="396"/>
      <c r="V10" s="397"/>
      <c r="W10" s="393" t="s">
        <v>241</v>
      </c>
      <c r="X10" s="393"/>
      <c r="Y10" s="393"/>
      <c r="Z10" s="393"/>
      <c r="AA10" s="393"/>
      <c r="AB10" s="393"/>
      <c r="AC10" s="393"/>
      <c r="AD10" s="393"/>
      <c r="AE10" s="379" t="s">
        <v>242</v>
      </c>
      <c r="AF10" s="380"/>
      <c r="AG10" s="380"/>
      <c r="AH10" s="380"/>
      <c r="AI10" s="380"/>
      <c r="AJ10" s="380"/>
      <c r="AK10" s="380"/>
      <c r="AL10" s="381"/>
      <c r="AM10" s="379" t="s">
        <v>243</v>
      </c>
      <c r="AN10" s="380"/>
      <c r="AO10" s="380"/>
      <c r="AP10" s="380"/>
      <c r="AQ10" s="380"/>
      <c r="AR10" s="380"/>
      <c r="AS10" s="380"/>
      <c r="AT10" s="381"/>
      <c r="AU10" s="379" t="s">
        <v>246</v>
      </c>
      <c r="AV10" s="380"/>
      <c r="AW10" s="380"/>
      <c r="AX10" s="381"/>
      <c r="AY10" s="379" t="s">
        <v>244</v>
      </c>
      <c r="AZ10" s="380"/>
      <c r="BA10" s="380"/>
      <c r="BB10" s="381"/>
      <c r="BC10" s="379" t="s">
        <v>245</v>
      </c>
      <c r="BD10" s="380"/>
      <c r="BE10" s="380"/>
      <c r="BF10" s="381"/>
    </row>
    <row r="11" spans="2:58" ht="24.75" customHeight="1" thickBot="1" x14ac:dyDescent="0.25">
      <c r="B11" s="292" t="s">
        <v>261</v>
      </c>
      <c r="C11" s="196" t="s">
        <v>248</v>
      </c>
      <c r="D11" s="249" t="s">
        <v>255</v>
      </c>
      <c r="E11" s="248"/>
      <c r="F11" s="217" t="s">
        <v>257</v>
      </c>
      <c r="G11" s="220"/>
      <c r="H11" s="220"/>
      <c r="I11" s="210"/>
      <c r="J11" s="236" t="s">
        <v>258</v>
      </c>
      <c r="K11" s="218"/>
      <c r="L11" s="218"/>
      <c r="M11" s="211"/>
      <c r="N11" s="234"/>
      <c r="O11" s="385" t="s">
        <v>236</v>
      </c>
      <c r="P11" s="386"/>
      <c r="Q11" s="386"/>
      <c r="R11" s="387"/>
      <c r="S11" s="385" t="s">
        <v>237</v>
      </c>
      <c r="T11" s="386"/>
      <c r="U11" s="386"/>
      <c r="V11" s="387"/>
      <c r="W11" s="394" t="s">
        <v>236</v>
      </c>
      <c r="X11" s="386"/>
      <c r="Y11" s="386"/>
      <c r="Z11" s="387"/>
      <c r="AA11" s="385" t="s">
        <v>237</v>
      </c>
      <c r="AB11" s="386"/>
      <c r="AC11" s="386"/>
      <c r="AD11" s="387"/>
      <c r="AE11" s="385" t="s">
        <v>236</v>
      </c>
      <c r="AF11" s="386"/>
      <c r="AG11" s="386"/>
      <c r="AH11" s="387"/>
      <c r="AI11" s="390" t="s">
        <v>237</v>
      </c>
      <c r="AJ11" s="391"/>
      <c r="AK11" s="391"/>
      <c r="AL11" s="392"/>
      <c r="AM11" s="385" t="s">
        <v>236</v>
      </c>
      <c r="AN11" s="386"/>
      <c r="AO11" s="386"/>
      <c r="AP11" s="387"/>
      <c r="AQ11" s="385" t="s">
        <v>237</v>
      </c>
      <c r="AR11" s="386"/>
      <c r="AS11" s="386"/>
      <c r="AT11" s="387"/>
      <c r="AU11" s="385" t="s">
        <v>236</v>
      </c>
      <c r="AV11" s="386"/>
      <c r="AW11" s="386"/>
      <c r="AX11" s="387"/>
      <c r="AY11" s="385" t="s">
        <v>236</v>
      </c>
      <c r="AZ11" s="386"/>
      <c r="BA11" s="386"/>
      <c r="BB11" s="387"/>
      <c r="BC11" s="385" t="s">
        <v>236</v>
      </c>
      <c r="BD11" s="386"/>
      <c r="BE11" s="386"/>
      <c r="BF11" s="387"/>
    </row>
    <row r="12" spans="2:58" ht="12.75" customHeight="1" thickBot="1" x14ac:dyDescent="0.25">
      <c r="C12" s="212"/>
      <c r="D12" s="207" t="s">
        <v>250</v>
      </c>
      <c r="E12" s="207" t="s">
        <v>251</v>
      </c>
      <c r="F12" s="221" t="s">
        <v>262</v>
      </c>
      <c r="G12" s="222"/>
      <c r="H12" s="225" t="s">
        <v>263</v>
      </c>
      <c r="I12" s="223"/>
      <c r="J12" s="221" t="s">
        <v>262</v>
      </c>
      <c r="K12" s="222"/>
      <c r="L12" s="225" t="s">
        <v>263</v>
      </c>
      <c r="M12" s="87"/>
      <c r="N12" s="68"/>
      <c r="O12" s="384" t="s">
        <v>238</v>
      </c>
      <c r="P12" s="382"/>
      <c r="Q12" s="382" t="s">
        <v>239</v>
      </c>
      <c r="R12" s="383"/>
      <c r="S12" s="384" t="s">
        <v>238</v>
      </c>
      <c r="T12" s="382"/>
      <c r="U12" s="388" t="s">
        <v>239</v>
      </c>
      <c r="V12" s="389"/>
      <c r="W12" s="398" t="s">
        <v>238</v>
      </c>
      <c r="X12" s="382"/>
      <c r="Y12" s="382" t="s">
        <v>239</v>
      </c>
      <c r="Z12" s="383"/>
      <c r="AA12" s="273" t="s">
        <v>238</v>
      </c>
      <c r="AB12" s="272"/>
      <c r="AC12" s="274" t="s">
        <v>239</v>
      </c>
      <c r="AD12" s="275"/>
      <c r="AE12" s="384" t="s">
        <v>238</v>
      </c>
      <c r="AF12" s="382"/>
      <c r="AG12" s="382" t="s">
        <v>239</v>
      </c>
      <c r="AH12" s="383"/>
      <c r="AI12" s="384" t="s">
        <v>238</v>
      </c>
      <c r="AJ12" s="382"/>
      <c r="AK12" s="388" t="s">
        <v>239</v>
      </c>
      <c r="AL12" s="389"/>
      <c r="AM12" s="384" t="s">
        <v>238</v>
      </c>
      <c r="AN12" s="382"/>
      <c r="AO12" s="382" t="s">
        <v>239</v>
      </c>
      <c r="AP12" s="383"/>
      <c r="AQ12" s="384" t="s">
        <v>238</v>
      </c>
      <c r="AR12" s="382"/>
      <c r="AS12" s="388" t="s">
        <v>239</v>
      </c>
      <c r="AT12" s="389"/>
      <c r="AU12" s="384" t="s">
        <v>238</v>
      </c>
      <c r="AV12" s="382"/>
      <c r="AW12" s="382" t="s">
        <v>239</v>
      </c>
      <c r="AX12" s="383"/>
      <c r="AY12" s="384" t="s">
        <v>238</v>
      </c>
      <c r="AZ12" s="382"/>
      <c r="BA12" s="382" t="s">
        <v>239</v>
      </c>
      <c r="BB12" s="383"/>
      <c r="BC12" s="384" t="s">
        <v>238</v>
      </c>
      <c r="BD12" s="382"/>
      <c r="BE12" s="382" t="s">
        <v>239</v>
      </c>
      <c r="BF12" s="383"/>
    </row>
    <row r="13" spans="2:58" ht="13.5" thickBot="1" x14ac:dyDescent="0.25">
      <c r="B13" s="86" t="s">
        <v>1</v>
      </c>
      <c r="C13" s="199" t="s">
        <v>43</v>
      </c>
      <c r="D13" s="216">
        <v>3</v>
      </c>
      <c r="E13" s="282">
        <v>3</v>
      </c>
      <c r="F13" s="293">
        <f>IF('Envoltória e Pré-req dos Amb'!$E$10="ZB1",O13,IF('Envoltória e Pré-req dos Amb'!$E$10="ZB2",W13,IF('Envoltória e Pré-req dos Amb'!$E$10="ZB3",AE13,IF('Envoltória e Pré-req dos Amb'!$E$10="ZB4",AM13,IF('Envoltória e Pré-req dos Amb'!$E$10="ZB5",AU13,IF('Envoltória e Pré-req dos Amb'!$E$10="ZB6",AY13,IF('Envoltória e Pré-req dos Amb'!$E$10="ZB7",BC13,IF('Envoltória e Pré-req dos Amb'!$E$10="ZB8",AU13,"Escolha uma ZB"))))))))</f>
        <v>938.90485726999998</v>
      </c>
      <c r="G13" s="263" t="str">
        <f>IF('Envoltória e Pré-req dos Amb'!$E$10="ZB1",P13,IF('Envoltória e Pré-req dos Amb'!$E$10="ZB2",X13,IF('Envoltória e Pré-req dos Amb'!$E$10="ZB3",AF13,IF('Envoltória e Pré-req dos Amb'!$E$10="ZB4",AN13,IF('Envoltória e Pré-req dos Amb'!$E$10="ZB5",AV13,IF('Envoltória e Pré-req dos Amb'!$E$10="ZB6",AZ13,IF('Envoltória e Pré-req dos Amb'!$E$10="ZB7",BD13,IF('Envoltória e Pré-req dos Amb'!$E$10="ZB8",AV13,"Escolha uma ZB"))))))))</f>
        <v>B</v>
      </c>
      <c r="H13" s="299">
        <f>IF('Envoltória e Pré-req dos Amb'!$E$10="ZB1",Q13,IF('Envoltória e Pré-req dos Amb'!$E$10="ZB2",Y13,IF('Envoltória e Pré-req dos Amb'!$E$10="ZB3",AG13,IF('Envoltória e Pré-req dos Amb'!$E$10="ZB4",AO13,IF('Envoltória e Pré-req dos Amb'!$E$10="ZB5",AW13,IF('Envoltória e Pré-req dos Amb'!$E$10="ZB6",BA13,IF('Envoltória e Pré-req dos Amb'!$E$10="ZB7",BE13,IF('Envoltória e Pré-req dos Amb'!$E$10="ZB8",AW13,"Escolha uma ZB"))))))))</f>
        <v>733.93280932999994</v>
      </c>
      <c r="I13" s="226" t="str">
        <f>IF('Envoltória e Pré-req dos Amb'!$E$10="ZB1",R13,IF('Envoltória e Pré-req dos Amb'!$E$10="ZB2",Z13,IF('Envoltória e Pré-req dos Amb'!$E$10="ZB3",AH13,IF('Envoltória e Pré-req dos Amb'!$E$10="ZB4",AP13,IF('Envoltória e Pré-req dos Amb'!$E$10="ZB5",AX13,IF('Envoltória e Pré-req dos Amb'!$E$10="ZB6",BB13,IF('Envoltória e Pré-req dos Amb'!$E$10="ZB7",BF13,IF('Envoltória e Pré-req dos Amb'!$E$10="ZB8",AX13,"Escolha uma ZB"))))))))</f>
        <v>A</v>
      </c>
      <c r="J13" s="306">
        <f>IF('Envoltória e Pré-req dos Amb'!$E$10="ZB1",S13,IF('Envoltória e Pré-req dos Amb'!$E$10="ZB2",AA13,IF('Envoltória e Pré-req dos Amb'!$E$10="ZB3",AI13,IF('Envoltória e Pré-req dos Amb'!$E$10="ZB4",AQ13,IF('Envoltória e Pré-req dos Amb'!$E$10="ZB5",0,IF('Envoltória e Pré-req dos Amb'!$E$10="ZB6",0,IF('Envoltória e Pré-req dos Amb'!$E$10="ZB7",0,IF('Envoltória e Pré-req dos Amb'!$E$10="ZB8",0,"Escolha uma ZB"))))))))</f>
        <v>6.6145219059000002</v>
      </c>
      <c r="K13" s="263" t="str">
        <f>IF('Envoltória e Pré-req dos Amb'!$E$10="ZB1",T13,IF('Envoltória e Pré-req dos Amb'!$E$10="ZB2",AB13,IF('Envoltória e Pré-req dos Amb'!$E$10="ZB3",AJ13,IF('Envoltória e Pré-req dos Amb'!$E$10="ZB4",AR13,IF('Envoltória e Pré-req dos Amb'!$E$10="ZB5","Não se aplica",IF('Envoltória e Pré-req dos Amb'!$E$10="ZB6","Não se aplica",IF('Envoltória e Pré-req dos Amb'!$E$10="ZB7","Não se aplica",IF('Envoltória e Pré-req dos Amb'!$E$10="ZB8","Não se aplica","Escolha uma ZB"))))))))</f>
        <v>B</v>
      </c>
      <c r="L13" s="310">
        <f>IF('Envoltória e Pré-req dos Amb'!$E$10="ZB1",U13,IF('Envoltória e Pré-req dos Amb'!$E$10="ZB2",AC13,IF('Envoltória e Pré-req dos Amb'!$E$10="ZB3",AK13,IF('Envoltória e Pré-req dos Amb'!$E$10="ZB4",AS13,IF('Envoltória e Pré-req dos Amb'!$E$10="ZB5",0,IF('Envoltória e Pré-req dos Amb'!$E$10="ZB6",0,IF('Envoltória e Pré-req dos Amb'!$E$10="ZB7",0,IF('Envoltória e Pré-req dos Amb'!$E$10="ZB8",0,"Escolha uma ZB"))))))))</f>
        <v>7.3491053660999999</v>
      </c>
      <c r="M13" s="256" t="str">
        <f>IF('Envoltória e Pré-req dos Amb'!$E$10="ZB1",V13,IF('Envoltória e Pré-req dos Amb'!$E$10="ZB2",AD13,IF('Envoltória e Pré-req dos Amb'!$E$10="ZB3",AL13,IF('Envoltória e Pré-req dos Amb'!$E$10="ZB4",AT13,IF('Envoltória e Pré-req dos Amb'!$E$10="ZB5","Não se aplica",IF('Envoltória e Pré-req dos Amb'!$E$10="ZB6","Não se aplica",IF('Envoltória e Pré-req dos Amb'!$E$10="ZB7","Não se aplica",IF('Envoltória e Pré-req dos Amb'!$E$10="ZB8","Não se aplica","Escolha uma ZB"))))))))</f>
        <v>B</v>
      </c>
      <c r="N13" s="230"/>
      <c r="O13" s="237" t="e">
        <f xml:space="preserve"> 94.05223724 + 'Envoltória e Pré-req dos Amb'!E22 * 123.0187663 + 'Envoltória e Pré-req dos Amb'!E35/('Envoltória e Pré-req dos Amb'!E12 + E13) * 164.3781445 + ('Envoltória e Pré-req dos Amb'!E16*(IF('Envoltória e Pré-req dos Amb'!E13=0,0,1)))*('Envoltória e Pré-req dos Amb'!E18*(IF('Envoltória e Pré-req dos Amb'!E13=0,0,1)))*'Envoltória e Pré-req dos Amb'!E13*('Envoltória e Pré-req dos Amb'!E12 + E13)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E13)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E13) * -0.907468594 + 'Envoltória e Pré-req dos Amb'!E38 * -16.16231635 + 'Envoltória e Pré-req dos Amb'!E13 * 50.83872757 + IF('Envoltória e Pré-req dos Amb'!E31=0,0,1) * 21.84793421 + 'Envoltória e Pré-req dos Amb'!E28*'Envoltória e Pré-req dos Amb'!E33 * 5.419685448 + ('Envoltória e Pré-req dos Amb'!E12 + E13) * -0.824068299 + 'Envoltória e Pré-req dos Amb'!E35 * 6.99512043 + 'Envoltória e Pré-req dos Amb'!E14*('Envoltória e Pré-req dos Amb'!E12 + E13)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13" s="238" t="e">
        <f>IF(O13&lt;ESCALAS!$B$5, "A", IF(O13&lt;ESCALAS!$B$6,"B", IF(O13&lt;ESCALAS!$B$7, "C", IF(O13&lt;ESCALAS!$B$8, "D", IF(O13&gt;ESCALAS!$B$8, "E", "")))))</f>
        <v>#DIV/0!</v>
      </c>
      <c r="Q13" s="239" t="e">
        <f xml:space="preserve"> 94.05223724 + 'Envoltória e Pré-req dos Amb'!E22 * 123.0187663 + 'Envoltória e Pré-req dos Amb'!E35/('Envoltória e Pré-req dos Amb'!E12 - E13) * 164.3781445 + ('Envoltória e Pré-req dos Amb'!E16*(IF('Envoltória e Pré-req dos Amb'!E13=0,0,1)))*('Envoltória e Pré-req dos Amb'!E18*(IF('Envoltória e Pré-req dos Amb'!E13=0,0,1)))*'Envoltória e Pré-req dos Amb'!E13*('Envoltória e Pré-req dos Amb'!E12 - E13)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E13)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E13) * -0.907468594 + 'Envoltória e Pré-req dos Amb'!E38 * -16.16231635 + 'Envoltória e Pré-req dos Amb'!E13 * 50.83872757 + IF('Envoltória e Pré-req dos Amb'!E31=0,0,1) * 21.84793421 + 'Envoltória e Pré-req dos Amb'!E28*'Envoltória e Pré-req dos Amb'!E33 * 5.419685448 + ('Envoltória e Pré-req dos Amb'!E12 - E13) * -0.824068299 + 'Envoltória e Pré-req dos Amb'!E35 * 6.99512043 + 'Envoltória e Pré-req dos Amb'!E14*('Envoltória e Pré-req dos Amb'!E12 - E13)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13" s="240" t="e">
        <f>IF(Q13&lt;ESCALAS!$B$5, "A", IF(Q13&lt;ESCALAS!$B$6,"B", IF(Q13&lt;ESCALAS!$B$7, "C", IF(Q13&lt;ESCALAS!$B$8, "D", IF(Q13&gt;ESCALAS!$B$8, "E", "")))))</f>
        <v>#DIV/0!</v>
      </c>
      <c r="S13" s="243" t="e">
        <f>(( 298700 + 'Envoltória e Pré-req dos Amb'!E35*('Envoltória e Pré-req dos Amb'!E12 + E13) * 621 + 'Envoltória e Pré-req dos Amb'!E15*('Envoltória e Pré-req dos Amb'!E12 + E13) * 8314 + 'Envoltória e Pré-req dos Amb'!E37 * -198260 + 'Envoltória e Pré-req dos Amb'!E34*'Envoltória e Pré-req dos Amb'!E20 * -1 + 'Envoltória e Pré-req dos Amb'!E14*('Envoltória e Pré-req dos Amb'!E12 + E13)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E13) * 3091 + 'Envoltória e Pré-req dos Amb'!E29*'Envoltória e Pré-req dos Amb'!E39 * 4326 + 'Envoltória e Pré-req dos Amb'!E16*'Envoltória e Pré-req dos Amb'!E18*'Envoltória e Pré-req dos Amb'!E13*('Envoltória e Pré-req dos Amb'!E12 + E13)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E13)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 + E13)</f>
        <v>#DIV/0!</v>
      </c>
      <c r="T13" s="239" t="e">
        <f>IF(S13&lt;ESCALAS!$B$25, "A", IF(S13&lt;ESCALAS!$B$26,"B", IF(S13&lt;ESCALAS!$B$27, "C", IF(S13&lt;ESCALAS!$B$28, "D", IF(S13&gt;ESCALAS!$B$28, "E", "")))))</f>
        <v>#DIV/0!</v>
      </c>
      <c r="U13" s="239" t="e">
        <f>(( 298700 + 'Envoltória e Pré-req dos Amb'!E35*('Envoltória e Pré-req dos Amb'!E12 - E13) * 621 + 'Envoltória e Pré-req dos Amb'!E15*('Envoltória e Pré-req dos Amb'!E12 - E13) * 8314 + 'Envoltória e Pré-req dos Amb'!E37 * -198260 + 'Envoltória e Pré-req dos Amb'!E34*'Envoltória e Pré-req dos Amb'!E20 * -1 + 'Envoltória e Pré-req dos Amb'!E14*('Envoltória e Pré-req dos Amb'!E12 - E13)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E13) * 3091 + 'Envoltória e Pré-req dos Amb'!E29*'Envoltória e Pré-req dos Amb'!E39 * 4326 + 'Envoltória e Pré-req dos Amb'!E16*'Envoltória e Pré-req dos Amb'!E18*'Envoltória e Pré-req dos Amb'!E13*('Envoltória e Pré-req dos Amb'!E12 - E13)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E13)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Amb'!E12 - E13)</f>
        <v>#DIV/0!</v>
      </c>
      <c r="V13" s="271" t="e">
        <f>IF(U13&lt;ESCALAS!$B$25, "A", IF(U13&lt;ESCALAS!$B$26,"B", IF(U13&lt;ESCALAS!$B$27, "C", IF(U13&lt;ESCALAS!$B$28, "D", IF(U13&gt;ESCALAS!$B$28, "E", "")))))</f>
        <v>#DIV/0!</v>
      </c>
      <c r="W13" s="280" t="e">
        <f xml:space="preserve"> 6000.849121 +  'Envoltória e Pré-req dos Amb'!E22 * 2386.299094 +  'Envoltória e Pré-req dos Amb'!E14*( 'Envoltória e Pré-req dos Amb'!E12 + E13)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E13)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 'Envoltória e Pré-req dos Amb'!E12 + E13) * -17.47874354 + ( 'Envoltória e Pré-req dos Amb'!E16*(IF( 'Envoltória e Pré-req dos Amb'!E13=0,0,1)))*( 'Envoltória e Pré-req dos Amb'!E18*(IF( 'Envoltória e Pré-req dos Amb'!E13=0,0,1)))* 'Envoltória e Pré-req dos Amb'!E13*( 'Envoltória e Pré-req dos Amb'!E12 + E13)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E13)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13" s="238" t="e">
        <f>IF(W13&lt;ESCALAS!$C$5, "A", IF(W13&lt;ESCALAS!$C$6,"B", IF(W13&lt;ESCALAS!$C$7, "C", IF(W13&lt;ESCALAS!$C$8, "D", IF(W13&gt;ESCALAS!$C$8, "E", "")))))</f>
        <v>#DIV/0!</v>
      </c>
      <c r="Y13" s="239" t="e">
        <f xml:space="preserve"> 6000.849121 +  'Envoltória e Pré-req dos Amb'!E22 * 2386.299094 +  'Envoltória e Pré-req dos Amb'!E14*( 'Envoltória e Pré-req dos Amb'!E12 - E13)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E13)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 'Envoltória e Pré-req dos Amb'!E12 - E13) * -17.47874354 + ( 'Envoltória e Pré-req dos Amb'!E16*(IF( 'Envoltória e Pré-req dos Amb'!E13=0,0,1)))*( 'Envoltória e Pré-req dos Amb'!E18*(IF( 'Envoltória e Pré-req dos Amb'!E13=0,0,1)))* 'Envoltória e Pré-req dos Amb'!E13*( 'Envoltória e Pré-req dos Amb'!E12 - E13)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E13)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13" s="240" t="e">
        <f>IF(Y13&lt;ESCALAS!$C$5, "A", IF(Y13&lt;ESCALAS!$C$6,"B", IF(Y13&lt;ESCALAS!$C$7, "C", IF(Y13&lt;ESCALAS!$C$8, "D", IF(Y13&gt;ESCALAS!$C$8, "E", "")))))</f>
        <v>#DIV/0!</v>
      </c>
      <c r="AA13" s="243" t="e">
        <f>((241751 +  'Envoltória e Pré-req dos Amb'!E35*( 'Envoltória e Pré-req dos Amb'!E12 + E13) * 2597 +  'Envoltória e Pré-req dos Amb'!E22 * 48774 +  'Envoltória e Pré-req dos Amb'!E15*( 'Envoltória e Pré-req dos Amb'!E12 + E13)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E13) * 678 +  'Envoltória e Pré-req dos Amb'!E28* 'Envoltória e Pré-req dos Amb'!E32 * -9967 +  'Envoltória e Pré-req dos Amb'!E14*( 'Envoltória e Pré-req dos Amb'!E12 + E13) * 1940 +  'Envoltória e Pré-req dos Amb'!E13*( 'Envoltória e Pré-req dos Amb'!E12 + E13) * 2201 +  'Envoltória e Pré-req dos Amb'!E16* 'Envoltória e Pré-req dos Amb'!E18* 'Envoltória e Pré-req dos Amb'!E13*( 'Envoltória e Pré-req dos Amb'!E12 + E13) * -1 + ( 'Envoltória e Pré-req dos Amb'!E12 + E13)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E13)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 + E13)</f>
        <v>#DIV/0!</v>
      </c>
      <c r="AB13" s="239" t="e">
        <f>IF(AA13&lt;ESCALAS!$C$25, "A", IF(AA13&lt;ESCALAS!$C$26,"B", IF(AA13&lt;ESCALAS!$C$27, "C", IF(AA13&lt;ESCALAS!$C$28, "D", IF(AA13&gt;ESCALAS!$C$28, "E", "")))))</f>
        <v>#DIV/0!</v>
      </c>
      <c r="AC13" s="239" t="e">
        <f>((241751 +  'Envoltória e Pré-req dos Amb'!E35*( 'Envoltória e Pré-req dos Amb'!E12 - E13) * 2597 +  'Envoltória e Pré-req dos Amb'!E22 * 48774 +  'Envoltória e Pré-req dos Amb'!E15*( 'Envoltória e Pré-req dos Amb'!E12 - E13)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E13) * 678 +  'Envoltória e Pré-req dos Amb'!E28* 'Envoltória e Pré-req dos Amb'!E32 * -9967 +  'Envoltória e Pré-req dos Amb'!E14*( 'Envoltória e Pré-req dos Amb'!E12 - E13) * 1940 +  'Envoltória e Pré-req dos Amb'!E13*( 'Envoltória e Pré-req dos Amb'!E12 - E13) * 2201 +  'Envoltória e Pré-req dos Amb'!E16* 'Envoltória e Pré-req dos Amb'!E18* 'Envoltória e Pré-req dos Amb'!E13*( 'Envoltória e Pré-req dos Amb'!E12 - E13) * -1 + ( 'Envoltória e Pré-req dos Amb'!E12 - E13)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E13)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Amb'!E12 - E13)</f>
        <v>#DIV/0!</v>
      </c>
      <c r="AD13" s="271" t="e">
        <f>IF(AC13&lt;ESCALAS!$C$25, "A", IF(AC13&lt;ESCALAS!$C$26,"B", IF(AC13&lt;ESCALAS!$C$27, "C", IF(AC13&lt;ESCALAS!$C$28, "D", IF(AC13&gt;ESCALAS!$C$28, "E", "")))))</f>
        <v>#DIV/0!</v>
      </c>
      <c r="AE13" s="243">
        <f xml:space="preserve"> 836.4188333 +  'Envoltória e Pré-req dos Amb'!E22 * 1002.285324 + ( 'Envoltória e Pré-req dos Amb'!E18*(IF( 'Envoltória e Pré-req dos Amb'!E13=0,0,1))) * 1248.761508 +  'Envoltória e Pré-req dos Amb'!E33 * -1042.85071 +  'Envoltória e Pré-req dos Amb'!E14*( 'Envoltória e Pré-req dos Amb'!E12 + E13) * -7.967548792 +  'Envoltória e Pré-req dos Amb'!E21 * 1007.678586 +  'Envoltória e Pré-req dos Amb'!E35/( 'Envoltória e Pré-req dos Amb'!E12 + E13)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E13) * 25.18789663 +  'Envoltória e Pré-req dos Amb'!E32 * -830.67424 + ( 'Envoltória e Pré-req dos Amb'!E12 + E13)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5.59884434 +  'Envoltória e Pré-req dos Amb'!E13*( 'Envoltória e Pré-req dos Amb'!E12 + E13)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E13)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938.90485726999998</v>
      </c>
      <c r="AF13" s="238" t="str">
        <f>IF(AE13&lt;ESCALAS!$D$5, "A", IF(AE13&lt;ESCALAS!$D$6,"B", IF(AE13&lt;ESCALAS!$D$7, "C", IF(AE13&lt;ESCALAS!$D$8, "D", IF(AE13&gt;ESCALAS!$D$8, "E", "")))))</f>
        <v>B</v>
      </c>
      <c r="AG13" s="239">
        <f xml:space="preserve"> 836.4188333 +  'Envoltória e Pré-req dos Amb'!E22 * 1002.285324 + ( 'Envoltória e Pré-req dos Amb'!E18*(IF( 'Envoltória e Pré-req dos Amb'!E13=0,0,1))) * 1248.761508 +  'Envoltória e Pré-req dos Amb'!E33 * -1042.85071 +  'Envoltória e Pré-req dos Amb'!E14*( 'Envoltória e Pré-req dos Amb'!E12 - E13) * -7.967548792 +  'Envoltória e Pré-req dos Amb'!E21 * 1007.678586 +  'Envoltória e Pré-req dos Amb'!E35/( 'Envoltória e Pré-req dos Amb'!E12 - E13)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E13) * 25.18789663 +  'Envoltória e Pré-req dos Amb'!E32 * -830.67424 + ( 'Envoltória e Pré-req dos Amb'!E12 - E13)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5.59884434 +  'Envoltória e Pré-req dos Amb'!E13*( 'Envoltória e Pré-req dos Amb'!E12 - E13)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E13)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733.93280932999994</v>
      </c>
      <c r="AH13" s="240" t="str">
        <f>IF(AG13&lt;ESCALAS!$D$5, "A", IF(AG13&lt;ESCALAS!$D$6,"B", IF(AG13&lt;ESCALAS!$D$7, "C", IF(AG13&lt;ESCALAS!$D$8, "D", IF(AG13&gt;ESCALAS!$D$8, "E", "")))))</f>
        <v>A</v>
      </c>
      <c r="AI13" s="243">
        <f xml:space="preserve"> (6981.813636 +  'Envoltória e Pré-req dos Amb'!E20 * 0.371721623 + ( 'Envoltória e Pré-req dos Amb'!E12 + E13)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E13) * -15281.19376)/1000</f>
        <v>6.6145219059000002</v>
      </c>
      <c r="AJ13" s="239" t="str">
        <f>IF(AI13&lt;ESCALAS!$D$25, "A", IF(AI13&lt;ESCALAS!$D$26,"B", IF(AI13&lt;ESCALAS!$D$27, "C", IF(AI13&lt;ESCALAS!$D$28, "D", IF(AI13&gt;ESCALAS!$D$28, "E", "")))))</f>
        <v>B</v>
      </c>
      <c r="AK13" s="239">
        <f xml:space="preserve"> (6981.813636 +  'Envoltória e Pré-req dos Amb'!E20 * 0.371721623 + ( 'Envoltória e Pré-req dos Amb'!E12 - E13)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E13) * -15281.19376)/1000</f>
        <v>7.3491053660999999</v>
      </c>
      <c r="AL13" s="271" t="str">
        <f>IF(AK13&lt;ESCALAS!$D$25, "A", IF(AK13&lt;ESCALAS!$D$26,"B", IF(AK13&lt;ESCALAS!$D$27, "C", IF(AK13&lt;ESCALAS!$D$28, "D", IF(AK13&gt;ESCALAS!$D$28, "E", "")))))</f>
        <v>B</v>
      </c>
      <c r="AM13" s="243"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E13)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E13)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 'Envoltória e Pré-req dos Amb'!E12 + E13) * 15.69719593 +  'Envoltória e Pré-req dos Amb'!E20 * -0.357751539 +  'Envoltória e Pré-req dos Amb'!E13*( 'Envoltória e Pré-req dos Amb'!E12 + E13)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E13) * -10.22496888 +  'Envoltória e Pré-req dos Amb'!E14*( 'Envoltória e Pré-req dos Amb'!E12 + E13)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13" s="238" t="e">
        <f>IF(AM13&lt;ESCALAS!$E$5, "A", IF(AM13&lt;ESCALAS!$E$6,"B", IF(AM13&lt;ESCALAS!$E$7, "C", IF(AM13&lt;ESCALAS!$E$8, "D", IF(AM13&gt;ESCALAS!$E$8, "E", "")))))</f>
        <v>#DIV/0!</v>
      </c>
      <c r="AO13" s="239"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E13)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E13)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 'Envoltória e Pré-req dos Amb'!E12 - E13) * 15.69719593 +  'Envoltória e Pré-req dos Amb'!E20 * -0.357751539 +  'Envoltória e Pré-req dos Amb'!E13*( 'Envoltória e Pré-req dos Amb'!E12 - E13)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E13) * -10.22496888 +  'Envoltória e Pré-req dos Amb'!E14*( 'Envoltória e Pré-req dos Amb'!E12 - E13)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13" s="240" t="e">
        <f>IF(AO13&lt;ESCALAS!$E$5, "A", IF(AO13&lt;ESCALAS!$E$6,"B", IF(AO13&lt;ESCALAS!$E$7, "C", IF(AO13&lt;ESCALAS!$E$8, "D", IF(AO13&gt;ESCALAS!$E$8, "E", "")))))</f>
        <v>#DIV/0!</v>
      </c>
      <c r="AQ13" s="243">
        <f>(-384.1715324 + 'Envoltória e Pré-req dos Amb'!E22 * 1948.761766 +( 'Envoltória e Pré-req dos Amb'!E12 + E13)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19.64244138 + 'Envoltória e Pré-req dos Amb'!E15 * 1478.925431 + 'Envoltória e Pré-req dos Amb'!E21 * -2161.086863 + 'Envoltória e Pré-req dos Amb'!E13*( 'Envoltória e Pré-req dos Amb'!E12 + E13)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E13) * -104.071993)/1000</f>
        <v>0.28728695830000001</v>
      </c>
      <c r="AR13" s="239" t="str">
        <f>IF(AQ13&lt;ESCALAS!$E$25, "A", IF(AQ13&lt;ESCALAS!$E$26,"B", IF(AQ13&lt;ESCALAS!$E$27, "C", IF(AQ13&lt;ESCALAS!$E$28, "D", IF(AQ13&gt;ESCALAS!$E$28, "E", "")))))</f>
        <v>A</v>
      </c>
      <c r="AS13" s="239">
        <f>(-384.1715324 + 'Envoltória e Pré-req dos Amb'!E22 * 1948.761766 +( 'Envoltória e Pré-req dos Amb'!E12 - E13)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19.64244138 + 'Envoltória e Pré-req dos Amb'!E15 * 1478.925431 + 'Envoltória e Pré-req dos Amb'!E21 * -2161.086863 + 'Envoltória e Pré-req dos Amb'!E13*( 'Envoltória e Pré-req dos Amb'!E12 - E13)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E13) * -104.071993)/1000</f>
        <v>-1.0556300231</v>
      </c>
      <c r="AT13" s="271" t="str">
        <f>IF(AS13&lt;ESCALAS!$E$25, "A", IF(AS13&lt;ESCALAS!$E$26,"B", IF(AS13&lt;ESCALAS!$E$27, "C", IF(AS13&lt;ESCALAS!$E$28, "D", IF(AS13&gt;ESCALAS!$E$28, "E", "")))))</f>
        <v>A</v>
      </c>
      <c r="AU13" s="243">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E13) * -19.63405726 +  'Envoltória e Pré-req dos Amb'!E26* 'Envoltória e Pré-req dos Amb'!E19* 'Envoltória e Pré-req dos Amb'!E21 * 40.01092098 + IF( 'Envoltória e Pré-req dos Amb'!E24=0,0,1) * 3128.242127 +  'Envoltória e Pré-req dos Amb'!E15*( 'Envoltória e Pré-req dos Amb'!E12 + E13)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E13) * 76.02810984 +  'Envoltória e Pré-req dos Amb'!E13*( 'Envoltória e Pré-req dos Amb'!E12 + E13)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E13)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E13) * -78.90770328 +  'Envoltória e Pré-req dos Amb'!E34 * 59.97553455 + ( 'Envoltória e Pré-req dos Amb'!E12 + E13)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5416.4396080999995</v>
      </c>
      <c r="AV13" s="238" t="str">
        <f>IF(AU13&lt;ESCALAS!$H$5, "A", IF(AU13&lt;ESCALAS!$H$6,"B", IF(AU13&lt;ESCALAS!$H$7, "C", IF(AU13&lt;ESCALAS!$H$8, "D", IF(AU13&gt;ESCALAS!$H$8, "E", "")))))</f>
        <v>B</v>
      </c>
      <c r="AW13" s="239">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E13) * -19.63405726 +  'Envoltória e Pré-req dos Amb'!E26* 'Envoltória e Pré-req dos Amb'!E19* 'Envoltória e Pré-req dos Amb'!E21 * 40.01092098 + IF( 'Envoltória e Pré-req dos Amb'!E24=0,0,1) * 3128.242127 +  'Envoltória e Pré-req dos Amb'!E15*( 'Envoltória e Pré-req dos Amb'!E12 - E13)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E13) * 76.02810984 +  'Envoltória e Pré-req dos Amb'!E13*( 'Envoltória e Pré-req dos Amb'!E12 - E13)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E13)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E13) * -78.90770328 +  'Envoltória e Pré-req dos Amb'!E34 * 59.97553455 + ( 'Envoltória e Pré-req dos Amb'!E12 - E13)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4498.9706698999998</v>
      </c>
      <c r="AX13" s="240" t="str">
        <f>IF(AW13&lt;ESCALAS!$H$5, "A", IF(AW13&lt;ESCALAS!$H$6,"B", IF(AW13&lt;ESCALAS!$H$7, "C", IF(AW13&lt;ESCALAS!$H$8, "D", IF(AW13&gt;ESCALAS!$H$8, "E", "")))))</f>
        <v>A</v>
      </c>
      <c r="AY13" s="243">
        <f xml:space="preserve"> 2761.081043 +  'Envoltória e Pré-req dos Amb'!E22 * 3125.513889 + ( 'Envoltória e Pré-req dos Amb'!E18*(IF( 'Envoltória e Pré-req dos Amb'!E13=0,0,1))) * 3942.257458 +  'Envoltória e Pré-req dos Amb'!E33 * -3602.930123 +  'Envoltória e Pré-req dos Amb'!E14*( 'Envoltória e Pré-req dos Amb'!E12 + E13) * -28.77883042 +  'Envoltória e Pré-req dos Amb'!E21 * 4083.27653 +  'Envoltória e Pré-req dos Amb'!E23 * -1291.108542 +  'Envoltória e Pré-req dos Amb'!E35/( 'Envoltória e Pré-req dos Amb'!E12 + E13)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E13) * 49.7463675 + IF( 'Envoltória e Pré-req dos Amb'!E26=0,0,1) * 1146.874551 +  'Envoltória e Pré-req dos Amb'!E29*IF( 'Envoltória e Pré-req dos Amb'!E33=0,1,0) * -199.963329 + ( 'Envoltória e Pré-req dos Amb'!E12 + E13)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E13)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3017.19853259</v>
      </c>
      <c r="AZ13" s="238" t="str">
        <f>IF(AY13&lt;ESCALAS!$F$5, "A", IF(AY13&lt;ESCALAS!$F$6,"B", IF(AY13&lt;ESCALAS!$F$7, "C", IF(AY13&lt;ESCALAS!$F$8, "D", IF(AY13&gt;ESCALAS!$F$8, "E", "")))))</f>
        <v>B</v>
      </c>
      <c r="BA13" s="239">
        <f xml:space="preserve"> 2761.081043 +  'Envoltória e Pré-req dos Amb'!E22 * 3125.513889 + ( 'Envoltória e Pré-req dos Amb'!E18*(IF( 'Envoltória e Pré-req dos Amb'!E13=0,0,1))) * 3942.257458 +  'Envoltória e Pré-req dos Amb'!E33 * -3602.930123 +  'Envoltória e Pré-req dos Amb'!E14*( 'Envoltória e Pré-req dos Amb'!E12 - E13) * -28.77883042 +  'Envoltória e Pré-req dos Amb'!E21 * 4083.27653 +  'Envoltória e Pré-req dos Amb'!E23 * -1291.108542 +  'Envoltória e Pré-req dos Amb'!E35/( 'Envoltória e Pré-req dos Amb'!E12 - E13)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E13) * 49.7463675 + IF( 'Envoltória e Pré-req dos Amb'!E26=0,0,1) * 1146.874551 +  'Envoltória e Pré-req dos Amb'!E29*IF( 'Envoltória e Pré-req dos Amb'!E33=0,1,0) * -199.963329 + ( 'Envoltória e Pré-req dos Amb'!E12 - E13)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E13)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E13)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2504.9635534100003</v>
      </c>
      <c r="BB13" s="240" t="str">
        <f>IF(BA13&lt;ESCALAS!$F$5, "A", IF(BA13&lt;ESCALAS!$F$6,"B", IF(BA13&lt;ESCALAS!$F$7, "C", IF(BA13&lt;ESCALAS!$F$8, "D", IF(BA13&gt;ESCALAS!$F$8, "E", "")))))</f>
        <v>A</v>
      </c>
      <c r="BC13" s="243"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E13)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E13)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E13) * 110.3608956 + ( 'Envoltória e Pré-req dos Amb'!E17*(IF( 'Envoltória e Pré-req dos Amb'!E13=0,0,1))) * -0.898547724 +  'Envoltória e Pré-req dos Amb'!E35/( 'Envoltória e Pré-req dos Amb'!E12 + E13)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E13)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13" s="238" t="e">
        <f>IF(BC13&lt;ESCALAS!$G$5, "A", IF(BC13&lt;ESCALAS!$G$6,"B", IF(BC13&lt;ESCALAS!$G$7, "C", IF(BC13&lt;ESCALAS!$G$8, "D", IF(BC13&gt;ESCALAS!$G$8, "E", "")))))</f>
        <v>#DIV/0!</v>
      </c>
      <c r="BE13" s="239"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E13)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E13)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E13) * 110.3608956 + ( 'Envoltória e Pré-req dos Amb'!E17*(IF( 'Envoltória e Pré-req dos Amb'!E13=0,0,1))) * -0.898547724 +  'Envoltória e Pré-req dos Amb'!E35/( 'Envoltória e Pré-req dos Amb'!E12 - E13)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E13)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13" s="240" t="e">
        <f>IF(BE13&lt;ESCALAS!$G$5, "A", IF(BE13&lt;ESCALAS!$G$6,"B", IF(BE13&lt;ESCALAS!$G$7, "C", IF(BE13&lt;ESCALAS!$G$8, "D", IF(BE13&gt;ESCALAS!$G$8, "E", "")))))</f>
        <v>#DIV/0!</v>
      </c>
    </row>
    <row r="14" spans="2:58" x14ac:dyDescent="0.2">
      <c r="B14" s="341" t="s">
        <v>0</v>
      </c>
      <c r="C14" s="103" t="s">
        <v>44</v>
      </c>
      <c r="D14" s="85">
        <v>0.5</v>
      </c>
      <c r="E14" s="283">
        <v>0.5</v>
      </c>
      <c r="F14" s="294" t="e">
        <f>IF('Envoltória e Pré-req dos Amb'!$E$10="ZB1",O14,IF('Envoltória e Pré-req dos Amb'!$E$10="ZB2",W14,IF('Envoltória e Pré-req dos Amb'!$E$10="ZB3",AE14,IF('Envoltória e Pré-req dos Amb'!$E$10="ZB4",AM14,IF('Envoltória e Pré-req dos Amb'!$E$10="ZB5",AU14,IF('Envoltória e Pré-req dos Amb'!$E$10="ZB6",AY14,IF('Envoltória e Pré-req dos Amb'!$E$10="ZB7",BC14,IF('Envoltória e Pré-req dos Amb'!$E$10="ZB8",AU14,"Escolha uma ZB"))))))))</f>
        <v>#DIV/0!</v>
      </c>
      <c r="G14" s="264" t="e">
        <f>IF('Envoltória e Pré-req dos Amb'!$E$10="ZB1",P14,IF('Envoltória e Pré-req dos Amb'!$E$10="ZB2",X14,IF('Envoltória e Pré-req dos Amb'!$E$10="ZB3",AF14,IF('Envoltória e Pré-req dos Amb'!$E$10="ZB4",AN14,IF('Envoltória e Pré-req dos Amb'!$E$10="ZB5",AV14,IF('Envoltória e Pré-req dos Amb'!$E$10="ZB6",AZ14,IF('Envoltória e Pré-req dos Amb'!$E$10="ZB7",BD14,IF('Envoltória e Pré-req dos Amb'!$E$10="ZB8",AV14,"Escolha uma ZB"))))))))</f>
        <v>#DIV/0!</v>
      </c>
      <c r="H14" s="300" t="e">
        <f>IF('Envoltória e Pré-req dos Amb'!$E$10="ZB1",Q14,IF('Envoltória e Pré-req dos Amb'!$E$10="ZB2",Y14,IF('Envoltória e Pré-req dos Amb'!$E$10="ZB3",AG14,IF('Envoltória e Pré-req dos Amb'!$E$10="ZB4",AO14,IF('Envoltória e Pré-req dos Amb'!$E$10="ZB5",AW14,IF('Envoltória e Pré-req dos Amb'!$E$10="ZB6",BA14,IF('Envoltória e Pré-req dos Amb'!$E$10="ZB7",BE14,IF('Envoltória e Pré-req dos Amb'!$E$10="ZB8",AW14,"Escolha uma ZB"))))))))</f>
        <v>#DIV/0!</v>
      </c>
      <c r="I14" s="257" t="e">
        <f>IF('Envoltória e Pré-req dos Amb'!$E$10="ZB1",R14,IF('Envoltória e Pré-req dos Amb'!$E$10="ZB2",Z14,IF('Envoltória e Pré-req dos Amb'!$E$10="ZB3",AH14,IF('Envoltória e Pré-req dos Amb'!$E$10="ZB4",AP14,IF('Envoltória e Pré-req dos Amb'!$E$10="ZB5",AX14,IF('Envoltória e Pré-req dos Amb'!$E$10="ZB6",BB14,IF('Envoltória e Pré-req dos Amb'!$E$10="ZB7",BF14,IF('Envoltória e Pré-req dos Amb'!$E$10="ZB8",AX14,"Escolha uma ZB"))))))))</f>
        <v>#DIV/0!</v>
      </c>
      <c r="J14" s="307" t="e">
        <f>IF('Envoltória e Pré-req dos Amb'!$E$10="ZB1",S14,IF('Envoltória e Pré-req dos Amb'!$E$10="ZB2",AA14,IF('Envoltória e Pré-req dos Amb'!$E$10="ZB3",AI14,IF('Envoltória e Pré-req dos Amb'!$E$10="ZB4",AQ14,IF('Envoltória e Pré-req dos Amb'!$E$10="ZB5",0,IF('Envoltória e Pré-req dos Amb'!$E$10="ZB6",0,IF('Envoltória e Pré-req dos Amb'!$E$10="ZB7",0,IF('Envoltória e Pré-req dos Amb'!$E$10="ZB8",0,"Escolha uma ZB"))))))))</f>
        <v>#DIV/0!</v>
      </c>
      <c r="K14" s="264" t="e">
        <f>IF('Envoltória e Pré-req dos Amb'!$E$10="ZB1",T14,IF('Envoltória e Pré-req dos Amb'!$E$10="ZB2",AB14,IF('Envoltória e Pré-req dos Amb'!$E$10="ZB3",AJ14,IF('Envoltória e Pré-req dos Amb'!$E$10="ZB4",AR14,IF('Envoltória e Pré-req dos Amb'!$E$10="ZB5","Não se aplica",IF('Envoltória e Pré-req dos Amb'!$E$10="ZB6","Não se aplica",IF('Envoltória e Pré-req dos Amb'!$E$10="ZB7","Não se aplica",IF('Envoltória e Pré-req dos Amb'!$E$10="ZB8","Não se aplica","Escolha uma ZB"))))))))</f>
        <v>#DIV/0!</v>
      </c>
      <c r="L14" s="311" t="e">
        <f>IF('Envoltória e Pré-req dos Amb'!$E$10="ZB1",U14,IF('Envoltória e Pré-req dos Amb'!$E$10="ZB2",AC14,IF('Envoltória e Pré-req dos Amb'!$E$10="ZB3",AK14,IF('Envoltória e Pré-req dos Amb'!$E$10="ZB4",AS14,IF('Envoltória e Pré-req dos Amb'!$E$10="ZB5",0,IF('Envoltória e Pré-req dos Amb'!$E$10="ZB6",0,IF('Envoltória e Pré-req dos Amb'!$E$10="ZB7",0,IF('Envoltória e Pré-req dos Amb'!$E$10="ZB8",0,"Escolha uma ZB"))))))))</f>
        <v>#DIV/0!</v>
      </c>
      <c r="M14" s="258" t="e">
        <f>IF('Envoltória e Pré-req dos Amb'!$E$10="ZB1",V14,IF('Envoltória e Pré-req dos Amb'!$E$10="ZB2",AD14,IF('Envoltória e Pré-req dos Amb'!$E$10="ZB3",AL14,IF('Envoltória e Pré-req dos Amb'!$E$10="ZB4",AT14,IF('Envoltória e Pré-req dos Amb'!$E$10="ZB5","Não se aplica",IF('Envoltória e Pré-req dos Amb'!$E$10="ZB6","Não se aplica",IF('Envoltória e Pré-req dos Amb'!$E$10="ZB7","Não se aplica",IF('Envoltória e Pré-req dos Amb'!$E$10="ZB8","Não se aplica","Escolha uma ZB"))))))))</f>
        <v>#DIV/0!</v>
      </c>
      <c r="N14" s="230"/>
      <c r="O14" s="242" t="e">
        <f xml:space="preserve"> 94.05223724 + 'Envoltória e Pré-req dos Amb'!E22 * 123.0187663 + 'Envoltória e Pré-req dos Amb'!E35/'Envoltória e Pré-req dos Amb'!E12 * 164.3781445 + (('Envoltória e Pré-req dos Amb'!E16 + E14)*(IF('Envoltória e Pré-req dos Amb'!E13=0,0,1)))*('Envoltória e Pré-req dos Amb'!E18*(IF('Envoltória e Pré-req dos Amb'!E13=0,0,1)))*'Envoltória e Pré-req dos Amb'!E13*'Envoltória e Pré-req dos Amb'!E12 * 2.635266317 + ((('Envoltória e Pré-req dos Amb'!E16 + E14)*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14" s="238" t="e">
        <f>IF(O14&lt;ESCALAS!$B$5, "A", IF(O14&lt;ESCALAS!$B$6,"B", IF(O14&lt;ESCALAS!$B$7, "C", IF(O14&lt;ESCALAS!$B$8, "D", IF(O14&gt;ESCALAS!$B$8, "E", "")))))</f>
        <v>#DIV/0!</v>
      </c>
      <c r="Q14" s="239" t="e">
        <f xml:space="preserve"> 94.05223724 + 'Envoltória e Pré-req dos Amb'!E22 * 123.0187663 + 'Envoltória e Pré-req dos Amb'!E35/'Envoltória e Pré-req dos Amb'!E12 * 164.3781445 + (('Envoltória e Pré-req dos Amb'!E16 - E14)*(IF('Envoltória e Pré-req dos Amb'!E13=0,0,1)))*('Envoltória e Pré-req dos Amb'!E18*(IF('Envoltória e Pré-req dos Amb'!E13=0,0,1)))*'Envoltória e Pré-req dos Amb'!E13*'Envoltória e Pré-req dos Amb'!E12 * 2.635266317 + ((('Envoltória e Pré-req dos Amb'!E16 - E14)*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14" s="240" t="e">
        <f>IF(Q14&lt;ESCALAS!$B$5, "A", IF(Q14&lt;ESCALAS!$B$6,"B", IF(Q14&lt;ESCALAS!$B$7, "C", IF(Q14&lt;ESCALAS!$B$8, "D", IF(Q14&gt;ESCALAS!$B$8, "E", "")))))</f>
        <v>#DIV/0!</v>
      </c>
      <c r="S14"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 + E14)*'Envoltória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 + E14)*'Envoltória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E14)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14" s="239" t="e">
        <f>IF(S14&lt;ESCALAS!$B$25, "A", IF(S14&lt;ESCALAS!$B$26,"B", IF(S14&lt;ESCALAS!$B$27, "C", IF(S14&lt;ESCALAS!$B$28, "D", IF(S14&gt;ESCALAS!$B$28, "E", "")))))</f>
        <v>#DIV/0!</v>
      </c>
      <c r="U14"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Amb'!E16 - E14)*'Envoltória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Amb'!E16 - E14)*'Envoltória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E14)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14" s="271" t="e">
        <f>IF(U14&lt;ESCALAS!$B$25, "A", IF(U14&lt;ESCALAS!$B$26,"B", IF(U14&lt;ESCALAS!$B$27, "C", IF(U14&lt;ESCALAS!$B$28, "D", IF(U14&gt;ESCALAS!$B$28, "E", "")))))</f>
        <v>#DIV/0!</v>
      </c>
      <c r="W14" s="270" t="e">
        <f xml:space="preserve"> 6000.849121 +  'Envoltória e Pré-req dos Amb'!E22 * 2386.299094 +  'Envoltória e Pré-req dos Amb'!E14* 'Envoltória e Pré-req dos Amb'!E12 * -14.38949644 +  'Envoltória e Pré-req dos Amb'!E33 * -2377.3152 + ( ('Envoltória e Pré-req dos Amb'!E16 + E14)*(IF(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 + E14)*(IF(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14" s="238" t="e">
        <f>IF(W14&lt;ESCALAS!$C$5, "A", IF(W14&lt;ESCALAS!$C$6,"B", IF(W14&lt;ESCALAS!$C$7, "C", IF(W14&lt;ESCALAS!$C$8, "D", IF(W14&gt;ESCALAS!$C$8, "E", "")))))</f>
        <v>#DIV/0!</v>
      </c>
      <c r="Y14" s="270" t="e">
        <f xml:space="preserve"> 6000.849121 +  'Envoltória e Pré-req dos Amb'!E22 * 2386.299094 +  'Envoltória e Pré-req dos Amb'!E14* 'Envoltória e Pré-req dos Amb'!E12 * -14.38949644 +  'Envoltória e Pré-req dos Amb'!E33 * -2377.3152 + ( ('Envoltória e Pré-req dos Amb'!E16 - E14)*(IF(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Amb'!E16 - E14)*(IF(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14" s="240" t="e">
        <f>IF(Y14&lt;ESCALAS!$C$5, "A", IF(Y14&lt;ESCALAS!$C$6,"B", IF(Y14&lt;ESCALAS!$C$7, "C", IF(Y14&lt;ESCALAS!$C$8, "D", IF(Y14&gt;ESCALAS!$C$8, "E", "")))))</f>
        <v>#DIV/0!</v>
      </c>
      <c r="AA14"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 E14)*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 E14)*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14" s="239" t="e">
        <f>IF(AA14&lt;ESCALAS!$C$25, "A", IF(AA14&lt;ESCALAS!$C$26,"B", IF(AA14&lt;ESCALAS!$C$27, "C", IF(AA14&lt;ESCALAS!$C$28, "D", IF(AA14&gt;ESCALAS!$C$28, "E", "")))))</f>
        <v>#DIV/0!</v>
      </c>
      <c r="AC14"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 E14)*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 E14)*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14" s="271" t="e">
        <f>IF(AC14&lt;ESCALAS!$C$25, "A", IF(AC14&lt;ESCALAS!$C$26,"B", IF(AC14&lt;ESCALAS!$C$27, "C", IF(AC14&lt;ESCALAS!$C$28, "D", IF(AC14&gt;ESCALAS!$C$28, "E", "")))))</f>
        <v>#DIV/0!</v>
      </c>
      <c r="AE14"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 + E14)*(IF(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 + E14)*(IF(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14" s="238" t="e">
        <f>IF(AE14&lt;ESCALAS!$D$5, "A", IF(AE14&lt;ESCALAS!$D$6,"B", IF(AE14&lt;ESCALAS!$D$7, "C", IF(AE14&lt;ESCALAS!$D$8, "D", IF(AE14&gt;ESCALAS!$D$8, "E", "")))))</f>
        <v>#DIV/0!</v>
      </c>
      <c r="AG14"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Amb'!E16 - E14)*(IF(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Amb'!E16 - E14)*(IF(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14" s="240" t="e">
        <f>IF(AG14&lt;ESCALAS!$D$5, "A", IF(AG14&lt;ESCALAS!$D$6,"B", IF(AG14&lt;ESCALAS!$D$7, "C", IF(AG14&lt;ESCALAS!$D$8, "D", IF(AG14&gt;ESCALAS!$D$8, "E", "")))))</f>
        <v>#DIV/0!</v>
      </c>
      <c r="AI14"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 + E14)*(IF(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14" s="239" t="e">
        <f>IF(AI14&lt;ESCALAS!$D$25, "A", IF(AI14&lt;ESCALAS!$D$26,"B", IF(AI14&lt;ESCALAS!$D$27, "C", IF(AI14&lt;ESCALAS!$D$28, "D", IF(AI14&gt;ESCALAS!$D$28, "E", "")))))</f>
        <v>#DIV/0!</v>
      </c>
      <c r="AK14"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Amb'!E16 - E14)*(IF(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14" s="271" t="e">
        <f>IF(AK14&lt;ESCALAS!$D$25, "A", IF(AK14&lt;ESCALAS!$D$26,"B", IF(AK14&lt;ESCALAS!$D$27, "C", IF(AK14&lt;ESCALAS!$D$28, "D", IF(AK14&gt;ESCALAS!$D$28, "E", "")))))</f>
        <v>#DIV/0!</v>
      </c>
      <c r="AM14"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 + E14)*(IF( 'Envoltória e Pré-req dos Amb'!E13=0,0,1)))*( 'Envoltória e Pré-req dos Amb'!E18*(IF( 'Envoltória e Pré-req dos Amb'!E13=0,0,1)))* 'Envoltória e Pré-req dos Amb'!E13* 'Envoltória e Pré-req dos Amb'!E12 * 29.05099819 +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 + E14)*(IF(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14" s="238" t="e">
        <f>IF(AM14&lt;ESCALAS!$E$5, "A", IF(AM14&lt;ESCALAS!$E$6,"B", IF(AM14&lt;ESCALAS!$E$7, "C", IF(AM14&lt;ESCALAS!$E$8, "D", IF(AM14&gt;ESCALAS!$E$8, "E", "")))))</f>
        <v>#DIV/0!</v>
      </c>
      <c r="AO14"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Amb'!E16 - E14)*(IF( 'Envoltória e Pré-req dos Amb'!E13=0,0,1)))*( 'Envoltória e Pré-req dos Amb'!E18*(IF( 'Envoltória e Pré-req dos Amb'!E13=0,0,1)))* 'Envoltória e Pré-req dos Amb'!E13* 'Envoltória e Pré-req dos Amb'!E12 * 29.05099819 +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Amb'!E16 - E14)*(IF(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14" s="240" t="e">
        <f>IF(AO14&lt;ESCALAS!$E$5, "A", IF(AO14&lt;ESCALAS!$E$6,"B", IF(AO14&lt;ESCALAS!$E$7, "C", IF(AO14&lt;ESCALAS!$E$8, "D", IF(AO14&gt;ESCALAS!$E$8, "E", "")))))</f>
        <v>#DIV/0!</v>
      </c>
      <c r="AQ14" s="270">
        <f>(-384.1715324 + 'Envoltória e Pré-req dos Amb'!E22 * 1948.761766 + 'Envoltória e Pré-req dos Amb'!E12 * 223.8194969 + 'Envoltória e Pré-req dos Amb'!E33 * 849.5126052 + 'Envoltória e Pré-req dos Amb'!E25* 'Envoltória e Pré-req dos Amb'!E19 * 2.690294206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 + E14)*(IF(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R14" s="239" t="str">
        <f>IF(AQ14&lt;ESCALAS!$E$25, "A", IF(AQ14&lt;ESCALAS!$E$26,"B", IF(AQ14&lt;ESCALAS!$E$27, "C", IF(AQ14&lt;ESCALAS!$E$28, "D", IF(AQ14&gt;ESCALAS!$E$28, "E", "")))))</f>
        <v>A</v>
      </c>
      <c r="AS14" s="270">
        <f>(-384.1715324 + 'Envoltória e Pré-req dos Amb'!E22 * 1948.761766 + 'Envoltória e Pré-req dos Amb'!E12 * 223.8194969 + 'Envoltória e Pré-req dos Amb'!E33 * 849.5126052 + 'Envoltória e Pré-req dos Amb'!E25* 'Envoltória e Pré-req dos Amb'!E19 * 2.690294206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Amb'!E16 - E14)*(IF(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T14" s="271" t="str">
        <f>IF(AS14&lt;ESCALAS!$E$25, "A", IF(AS14&lt;ESCALAS!$E$26,"B", IF(AS14&lt;ESCALAS!$E$27, "C", IF(AS14&lt;ESCALAS!$E$28, "D", IF(AS14&gt;ESCALAS!$E$28, "E", "")))))</f>
        <v>A</v>
      </c>
      <c r="AU14"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 + E14)*(IF(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 + E14)*(IF(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14" s="238" t="e">
        <f>IF(AU14&lt;ESCALAS!$H$5, "A", IF(AU14&lt;ESCALAS!$H$6,"B", IF(AU14&lt;ESCALAS!$H$7, "C", IF(AU14&lt;ESCALAS!$H$8, "D", IF(AU14&gt;ESCALAS!$H$8, "E", "")))))</f>
        <v>#DIV/0!</v>
      </c>
      <c r="AW14"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Amb'!E16 - E14)*(IF(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Amb'!E16 - E14)*(IF(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14" s="240" t="e">
        <f>IF(AW14&lt;ESCALAS!$H$5, "A", IF(AW14&lt;ESCALAS!$H$6,"B", IF(AW14&lt;ESCALAS!$H$7, "C", IF(AW14&lt;ESCALAS!$H$8, "D", IF(AW14&gt;ESCALAS!$H$8, "E", "")))))</f>
        <v>#DIV/0!</v>
      </c>
      <c r="AY14"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 + E14)*(IF(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14" s="238" t="e">
        <f>IF(AY14&lt;ESCALAS!$F$5, "A", IF(AY14&lt;ESCALAS!$F$6,"B", IF(AY14&lt;ESCALAS!$F$7, "C", IF(AY14&lt;ESCALAS!$F$8, "D", IF(AY14&gt;ESCALAS!$F$8, "E", "")))))</f>
        <v>#DIV/0!</v>
      </c>
      <c r="BA14"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Amb'!E16 - E14)*(IF(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Amb'!E16 - E14)*(IF(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14" s="240" t="e">
        <f>IF(BA14&lt;ESCALAS!$F$5, "A", IF(BA14&lt;ESCALAS!$F$6,"B", IF(BA14&lt;ESCALAS!$F$7, "C", IF(BA14&lt;ESCALAS!$F$8, "D", IF(BA14&gt;ESCALAS!$F$8, "E", "")))))</f>
        <v>#DIV/0!</v>
      </c>
      <c r="BC14"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 + E14)*(IF(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 + E14)*(IF(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14" s="238" t="e">
        <f>IF(BC14&lt;ESCALAS!$G$5, "A", IF(BC14&lt;ESCALAS!$G$6,"B", IF(BC14&lt;ESCALAS!$G$7, "C", IF(BC14&lt;ESCALAS!$G$8, "D", IF(BC14&gt;ESCALAS!$G$8, "E", "")))))</f>
        <v>#DIV/0!</v>
      </c>
      <c r="BE14"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Amb'!E16 - E14)*(IF(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Amb'!E16 - E14)*(IF(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14" s="240" t="e">
        <f>IF(BE14&lt;ESCALAS!$G$5, "A", IF(BE14&lt;ESCALAS!$G$6,"B", IF(BE14&lt;ESCALAS!$G$7, "C", IF(BE14&lt;ESCALAS!$G$8, "D", IF(BE14&gt;ESCALAS!$G$8, "E", "")))))</f>
        <v>#DIV/0!</v>
      </c>
    </row>
    <row r="15" spans="2:58" x14ac:dyDescent="0.2">
      <c r="B15" s="342"/>
      <c r="C15" s="104" t="s">
        <v>56</v>
      </c>
      <c r="D15" s="83">
        <v>50</v>
      </c>
      <c r="E15" s="284">
        <v>50</v>
      </c>
      <c r="F15" s="295" t="e">
        <f>IF('Envoltória e Pré-req dos Amb'!$E$10="ZB1",O15,IF('Envoltória e Pré-req dos Amb'!$E$10="ZB2",W15,IF('Envoltória e Pré-req dos Amb'!$E$10="ZB3",AE15,IF('Envoltória e Pré-req dos Amb'!$E$10="ZB4",AM15,IF('Envoltória e Pré-req dos Amb'!$E$10="ZB5",AU15,IF('Envoltória e Pré-req dos Amb'!$E$10="ZB6",AY15,IF('Envoltória e Pré-req dos Amb'!$E$10="ZB7",BC15,IF('Envoltória e Pré-req dos Amb'!$E$10="ZB8",AU15,"Escolha uma ZB"))))))))</f>
        <v>#DIV/0!</v>
      </c>
      <c r="G15" s="265" t="e">
        <f>IF('Envoltória e Pré-req dos Amb'!$E$10="ZB1",P15,IF('Envoltória e Pré-req dos Amb'!$E$10="ZB2",X15,IF('Envoltória e Pré-req dos Amb'!$E$10="ZB3",AF15,IF('Envoltória e Pré-req dos Amb'!$E$10="ZB4",AN15,IF('Envoltória e Pré-req dos Amb'!$E$10="ZB5",AV15,IF('Envoltória e Pré-req dos Amb'!$E$10="ZB6",AZ15,IF('Envoltória e Pré-req dos Amb'!$E$10="ZB7",BD15,IF('Envoltória e Pré-req dos Amb'!$E$10="ZB8",AV15,"Escolha uma ZB"))))))))</f>
        <v>#DIV/0!</v>
      </c>
      <c r="H15" s="301" t="e">
        <f>IF('Envoltória e Pré-req dos Amb'!$E$10="ZB1",Q15,IF('Envoltória e Pré-req dos Amb'!$E$10="ZB2",Y15,IF('Envoltória e Pré-req dos Amb'!$E$10="ZB3",AG15,IF('Envoltória e Pré-req dos Amb'!$E$10="ZB4",AO15,IF('Envoltória e Pré-req dos Amb'!$E$10="ZB5",AW15,IF('Envoltória e Pré-req dos Amb'!$E$10="ZB6",BA15,IF('Envoltória e Pré-req dos Amb'!$E$10="ZB7",BE15,IF('Envoltória e Pré-req dos Amb'!$E$10="ZB8",AW15,"Escolha uma ZB"))))))))</f>
        <v>#DIV/0!</v>
      </c>
      <c r="I15" s="259" t="e">
        <f>IF('Envoltória e Pré-req dos Amb'!$E$10="ZB1",R15,IF('Envoltória e Pré-req dos Amb'!$E$10="ZB2",Z15,IF('Envoltória e Pré-req dos Amb'!$E$10="ZB3",AH15,IF('Envoltória e Pré-req dos Amb'!$E$10="ZB4",AP15,IF('Envoltória e Pré-req dos Amb'!$E$10="ZB5",AX15,IF('Envoltória e Pré-req dos Amb'!$E$10="ZB6",BB15,IF('Envoltória e Pré-req dos Amb'!$E$10="ZB7",BF15,IF('Envoltória e Pré-req dos Amb'!$E$10="ZB8",AX15,"Escolha uma ZB"))))))))</f>
        <v>#DIV/0!</v>
      </c>
      <c r="J15" s="308" t="e">
        <f>IF('Envoltória e Pré-req dos Amb'!$E$10="ZB1",S15,IF('Envoltória e Pré-req dos Amb'!$E$10="ZB2",AA15,IF('Envoltória e Pré-req dos Amb'!$E$10="ZB3",AI15,IF('Envoltória e Pré-req dos Amb'!$E$10="ZB4",AQ15,IF('Envoltória e Pré-req dos Amb'!$E$10="ZB5",0,IF('Envoltória e Pré-req dos Amb'!$E$10="ZB6",0,IF('Envoltória e Pré-req dos Amb'!$E$10="ZB7",0,IF('Envoltória e Pré-req dos Amb'!$E$10="ZB8",0,"Escolha uma ZB"))))))))</f>
        <v>#DIV/0!</v>
      </c>
      <c r="K15" s="265" t="e">
        <f>IF('Envoltória e Pré-req dos Amb'!$E$10="ZB1",T15,IF('Envoltória e Pré-req dos Amb'!$E$10="ZB2",AB15,IF('Envoltória e Pré-req dos Amb'!$E$10="ZB3",AJ15,IF('Envoltória e Pré-req dos Amb'!$E$10="ZB4",AR15,IF('Envoltória e Pré-req dos Amb'!$E$10="ZB5","Não se aplica",IF('Envoltória e Pré-req dos Amb'!$E$10="ZB6","Não se aplica",IF('Envoltória e Pré-req dos Amb'!$E$10="ZB7","Não se aplica",IF('Envoltória e Pré-req dos Amb'!$E$10="ZB8","Não se aplica","Escolha uma ZB"))))))))</f>
        <v>#DIV/0!</v>
      </c>
      <c r="L15" s="312" t="e">
        <f>IF('Envoltória e Pré-req dos Amb'!$E$10="ZB1",U15,IF('Envoltória e Pré-req dos Amb'!$E$10="ZB2",AC15,IF('Envoltória e Pré-req dos Amb'!$E$10="ZB3",AK15,IF('Envoltória e Pré-req dos Amb'!$E$10="ZB4",AS15,IF('Envoltória e Pré-req dos Amb'!$E$10="ZB5",0,IF('Envoltória e Pré-req dos Amb'!$E$10="ZB6",0,IF('Envoltória e Pré-req dos Amb'!$E$10="ZB7",0,IF('Envoltória e Pré-req dos Amb'!$E$10="ZB8",0,"Escolha uma ZB"))))))))</f>
        <v>#DIV/0!</v>
      </c>
      <c r="M15" s="260" t="e">
        <f>IF('Envoltória e Pré-req dos Amb'!$E$10="ZB1",V15,IF('Envoltória e Pré-req dos Amb'!$E$10="ZB2",AD15,IF('Envoltória e Pré-req dos Amb'!$E$10="ZB3",AL15,IF('Envoltória e Pré-req dos Amb'!$E$10="ZB4",AT15,IF('Envoltória e Pré-req dos Amb'!$E$10="ZB5","Não se aplica",IF('Envoltória e Pré-req dos Amb'!$E$10="ZB6","Não se aplica",IF('Envoltória e Pré-req dos Amb'!$E$10="ZB7","Não se aplica",IF('Envoltória e Pré-req dos Amb'!$E$10="ZB8","Não se aplica","Escolha uma ZB"))))))))</f>
        <v>#DIV/0!</v>
      </c>
      <c r="N15" s="230"/>
      <c r="O15"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 + E15)*(IF('Envoltória e Pré-req dos Amb'!E13=0,0,1)))=0,1,(('Envoltória e Pré-req dos Amb'!E17 + E15)*(IF('Envoltória e Pré-req dos Amb'!E13=0,0,1))))))*'Envoltória e Pré-req dos Amb'!E12 * 3.056389353 + 'Envoltória e Pré-req dos Amb'!E33 * -66.67213625 + (('Envoltória e Pré-req dos Amb'!E17 + E15)*(IF('Envoltória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15" s="238" t="e">
        <f>IF(O15&lt;ESCALAS!$B$5, "A", IF(O15&lt;ESCALAS!$B$6,"B", IF(O15&lt;ESCALAS!$B$7, "C", IF(O15&lt;ESCALAS!$B$8, "D", IF(O15&gt;ESCALAS!$B$8, "E", "")))))</f>
        <v>#DIV/0!</v>
      </c>
      <c r="Q15"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Amb'!E17 - E15)*(IF('Envoltória e Pré-req dos Amb'!E13=0,0,1)))=0,1,(('Envoltória e Pré-req dos Amb'!E17 - E15)*(IF('Envoltória e Pré-req dos Amb'!E13=0,0,1))))))*'Envoltória e Pré-req dos Amb'!E12 * 3.056389353 + 'Envoltória e Pré-req dos Amb'!E33 * -66.67213625 + (('Envoltória e Pré-req dos Amb'!E17 - E15)*(IF('Envoltória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15" s="240" t="e">
        <f>IF(Q15&lt;ESCALAS!$B$5, "A", IF(Q15&lt;ESCALAS!$B$6,"B", IF(Q15&lt;ESCALAS!$B$7, "C", IF(Q15&lt;ESCALAS!$B$8, "D", IF(Q15&gt;ESCALAS!$B$8, "E", "")))))</f>
        <v>#DIV/0!</v>
      </c>
      <c r="S15"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 + E15))*'Envoltória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E15)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15" s="239" t="e">
        <f>IF(S15&lt;ESCALAS!$B$25, "A", IF(S15&lt;ESCALAS!$B$26,"B", IF(S15&lt;ESCALAS!$B$27, "C", IF(S15&lt;ESCALAS!$B$28, "D", IF(S15&gt;ESCALAS!$B$28, "E", "")))))</f>
        <v>#DIV/0!</v>
      </c>
      <c r="U15"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Amb'!E17 - E15))*'Envoltória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E15)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15" s="271" t="e">
        <f>IF(U15&lt;ESCALAS!$B$25, "A", IF(U15&lt;ESCALAS!$B$26,"B", IF(U15&lt;ESCALAS!$B$27, "C", IF(U15&lt;ESCALAS!$B$28, "D", IF(U15&gt;ESCALAS!$B$28, "E", "")))))</f>
        <v>#DIV/0!</v>
      </c>
      <c r="W15"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 + E15)*(IF(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15" s="238" t="e">
        <f>IF(W15&lt;ESCALAS!$C$5, "A", IF(W15&lt;ESCALAS!$C$6,"B", IF(W15&lt;ESCALAS!$C$7, "C", IF(W15&lt;ESCALAS!$C$8, "D", IF(W15&gt;ESCALAS!$C$8, "E", "")))))</f>
        <v>#DIV/0!</v>
      </c>
      <c r="Y15"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Amb'!E17 - E15)*(IF(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15" s="240" t="e">
        <f>IF(Y15&lt;ESCALAS!$C$5, "A", IF(Y15&lt;ESCALAS!$C$6,"B", IF(Y15&lt;ESCALAS!$C$7, "C", IF(Y15&lt;ESCALAS!$C$8, "D", IF(Y15&gt;ESCALAS!$C$8, "E", "")))))</f>
        <v>#DIV/0!</v>
      </c>
      <c r="AA15"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 E15))*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E15)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15" s="239" t="e">
        <f>IF(AA15&lt;ESCALAS!$C$25, "A", IF(AA15&lt;ESCALAS!$C$26,"B", IF(AA15&lt;ESCALAS!$C$27, "C", IF(AA15&lt;ESCALAS!$C$28, "D", IF(AA15&gt;ESCALAS!$C$28, "E", "")))))</f>
        <v>#DIV/0!</v>
      </c>
      <c r="AC15"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 E15))*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E15)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15" s="271" t="e">
        <f>IF(AC15&lt;ESCALAS!$C$25, "A", IF(AC15&lt;ESCALAS!$C$26,"B", IF(AC15&lt;ESCALAS!$C$27, "C", IF(AC15&lt;ESCALAS!$C$28, "D", IF(AC15&gt;ESCALAS!$C$28, "E", "")))))</f>
        <v>#DIV/0!</v>
      </c>
      <c r="AE15"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 + E15)*(IF(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15" s="238" t="e">
        <f>IF(AE15&lt;ESCALAS!$D$5, "A", IF(AE15&lt;ESCALAS!$D$6,"B", IF(AE15&lt;ESCALAS!$D$7, "C", IF(AE15&lt;ESCALAS!$D$8, "D", IF(AE15&gt;ESCALAS!$D$8, "E", "")))))</f>
        <v>#DIV/0!</v>
      </c>
      <c r="AG15"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Amb'!E17 - E15)*(IF(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15" s="240" t="e">
        <f>IF(AG15&lt;ESCALAS!$D$5, "A", IF(AG15&lt;ESCALAS!$D$6,"B", IF(AG15&lt;ESCALAS!$D$7, "C", IF(AG15&lt;ESCALAS!$D$8, "D", IF(AG15&gt;ESCALAS!$D$8, "E", "")))))</f>
        <v>#DIV/0!</v>
      </c>
      <c r="AI15"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 + E15)*(IF(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15" s="239" t="e">
        <f>IF(AI15&lt;ESCALAS!$D$25, "A", IF(AI15&lt;ESCALAS!$D$26,"B", IF(AI15&lt;ESCALAS!$D$27, "C", IF(AI15&lt;ESCALAS!$D$28, "D", IF(AI15&gt;ESCALAS!$D$28, "E", "")))))</f>
        <v>#DIV/0!</v>
      </c>
      <c r="AK15"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Amb'!E17 - E15)*(IF(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15" s="271" t="e">
        <f>IF(AK15&lt;ESCALAS!$D$25, "A", IF(AK15&lt;ESCALAS!$D$26,"B", IF(AK15&lt;ESCALAS!$D$27, "C", IF(AK15&lt;ESCALAS!$D$28, "D", IF(AK15&gt;ESCALAS!$D$28, "E", "")))))</f>
        <v>#DIV/0!</v>
      </c>
      <c r="AM15" s="270" t="e">
        <f xml:space="preserve"> 641.187885 +  'Envoltória e Pré-req dos Amb'!E22 * 748.0024 + ( 'Envoltória e Pré-req dos Amb'!E18*(IF( 'Envoltória e Pré-req dos Amb'!E13=0,0,1))) * 548.8264099 +  'Envoltória e Pré-req dos Amb'!E33 * -766.6239466 + ( ('Envoltória e Pré-req dos Amb'!E17 + E15)*(IF(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15" s="238" t="e">
        <f>IF(AM15&lt;ESCALAS!$E$5, "A", IF(AM15&lt;ESCALAS!$E$6,"B", IF(AM15&lt;ESCALAS!$E$7, "C", IF(AM15&lt;ESCALAS!$E$8, "D", IF(AM15&gt;ESCALAS!$E$8, "E", "")))))</f>
        <v>#DIV/0!</v>
      </c>
      <c r="AO15" s="270" t="e">
        <f xml:space="preserve"> 641.187885 +  'Envoltória e Pré-req dos Amb'!E22 * 748.0024 + ( 'Envoltória e Pré-req dos Amb'!E18*(IF( 'Envoltória e Pré-req dos Amb'!E13=0,0,1))) * 548.8264099 +  'Envoltória e Pré-req dos Amb'!E33 * -766.6239466 + ( ('Envoltória e Pré-req dos Amb'!E17 - E15)*(IF(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15" s="240" t="e">
        <f>IF(AO15&lt;ESCALAS!$E$5, "A", IF(AO15&lt;ESCALAS!$E$6,"B", IF(AO15&lt;ESCALAS!$E$7, "C", IF(AO15&lt;ESCALAS!$E$8, "D", IF(AO15&gt;ESCALAS!$E$8, "E", "")))))</f>
        <v>#DIV/0!</v>
      </c>
      <c r="AQ15"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 + E15)*(IF(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R15" s="239" t="str">
        <f>IF(AQ15&lt;ESCALAS!$E$25, "A", IF(AQ15&lt;ESCALAS!$E$26,"B", IF(AQ15&lt;ESCALAS!$E$27, "C", IF(AQ15&lt;ESCALAS!$E$28, "D", IF(AQ15&gt;ESCALAS!$E$28, "E", "")))))</f>
        <v>A</v>
      </c>
      <c r="AS15"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Amb'!E17 - E15)*(IF(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T15" s="271" t="str">
        <f>IF(AS15&lt;ESCALAS!$E$25, "A", IF(AS15&lt;ESCALAS!$E$26,"B", IF(AS15&lt;ESCALAS!$E$27, "C", IF(AS15&lt;ESCALAS!$E$28, "D", IF(AS15&gt;ESCALAS!$E$28, "E", "")))))</f>
        <v>A</v>
      </c>
      <c r="AU15"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 + E15)*(IF(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15" s="238" t="e">
        <f>IF(AU15&lt;ESCALAS!$H$5, "A", IF(AU15&lt;ESCALAS!$H$6,"B", IF(AU15&lt;ESCALAS!$H$7, "C", IF(AU15&lt;ESCALAS!$H$8, "D", IF(AU15&gt;ESCALAS!$H$8, "E", "")))))</f>
        <v>#DIV/0!</v>
      </c>
      <c r="AW15"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Amb'!E17 - E15)*(IF(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15" s="240" t="e">
        <f>IF(AW15&lt;ESCALAS!$H$5, "A", IF(AW15&lt;ESCALAS!$H$6,"B", IF(AW15&lt;ESCALAS!$H$7, "C", IF(AW15&lt;ESCALAS!$H$8, "D", IF(AW15&gt;ESCALAS!$H$8, "E", "")))))</f>
        <v>#DIV/0!</v>
      </c>
      <c r="AY15"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 + E15)*(IF(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15" s="238" t="e">
        <f>IF(AY15&lt;ESCALAS!$F$5, "A", IF(AY15&lt;ESCALAS!$F$6,"B", IF(AY15&lt;ESCALAS!$F$7, "C", IF(AY15&lt;ESCALAS!$F$8, "D", IF(AY15&gt;ESCALAS!$F$8, "E", "")))))</f>
        <v>#DIV/0!</v>
      </c>
      <c r="BA15"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Amb'!E17 - E15)*(IF(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Amb'!E17 - E15)*(IF( 'Envoltória e Pré-req dos Amb'!E13=0,0,1)))=0,1,( ('Envoltória e Pré-req dos Amb'!E17 - E15)*(IF(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15" s="240" t="e">
        <f>IF(BA15&lt;ESCALAS!$F$5, "A", IF(BA15&lt;ESCALAS!$F$6,"B", IF(BA15&lt;ESCALAS!$F$7, "C", IF(BA15&lt;ESCALAS!$F$8, "D", IF(BA15&gt;ESCALAS!$F$8, "E", "")))))</f>
        <v>#DIV/0!</v>
      </c>
      <c r="BC15"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 + E15)*(IF(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15" s="238" t="e">
        <f>IF(BC15&lt;ESCALAS!$G$5, "A", IF(BC15&lt;ESCALAS!$G$6,"B", IF(BC15&lt;ESCALAS!$G$7, "C", IF(BC15&lt;ESCALAS!$G$8, "D", IF(BC15&gt;ESCALAS!$G$8, "E", "")))))</f>
        <v>#DIV/0!</v>
      </c>
      <c r="BE15"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Amb'!E17 - E15)*(IF(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15" s="240" t="e">
        <f>IF(BE15&lt;ESCALAS!$G$5, "A", IF(BE15&lt;ESCALAS!$G$6,"B", IF(BE15&lt;ESCALAS!$G$7, "C", IF(BE15&lt;ESCALAS!$G$8, "D", IF(BE15&gt;ESCALAS!$G$8, "E", "")))))</f>
        <v>#DIV/0!</v>
      </c>
    </row>
    <row r="16" spans="2:58" ht="13.5" thickBot="1" x14ac:dyDescent="0.25">
      <c r="B16" s="343"/>
      <c r="C16" s="102" t="s">
        <v>234</v>
      </c>
      <c r="D16" s="84">
        <v>0.1</v>
      </c>
      <c r="E16" s="285">
        <v>0.1</v>
      </c>
      <c r="F16" s="296" t="e">
        <f>IF('Envoltória e Pré-req dos Amb'!$E$10="ZB1",O16,IF('Envoltória e Pré-req dos Amb'!$E$10="ZB2",W16,IF('Envoltória e Pré-req dos Amb'!$E$10="ZB3",AE16,IF('Envoltória e Pré-req dos Amb'!$E$10="ZB4",AM16,IF('Envoltória e Pré-req dos Amb'!$E$10="ZB5",AU16,IF('Envoltória e Pré-req dos Amb'!$E$10="ZB6",AY16,IF('Envoltória e Pré-req dos Amb'!$E$10="ZB7",BC16,IF('Envoltória e Pré-req dos Amb'!$E$10="ZB8",AU16,"Escolha uma ZB"))))))))</f>
        <v>#DIV/0!</v>
      </c>
      <c r="G16" s="266" t="e">
        <f>IF('Envoltória e Pré-req dos Amb'!$E$10="ZB1",P16,IF('Envoltória e Pré-req dos Amb'!$E$10="ZB2",X16,IF('Envoltória e Pré-req dos Amb'!$E$10="ZB3",AF16,IF('Envoltória e Pré-req dos Amb'!$E$10="ZB4",AN16,IF('Envoltória e Pré-req dos Amb'!$E$10="ZB5",AV16,IF('Envoltória e Pré-req dos Amb'!$E$10="ZB6",AZ16,IF('Envoltória e Pré-req dos Amb'!$E$10="ZB7",BD16,IF('Envoltória e Pré-req dos Amb'!$E$10="ZB8",AV16,"Escolha uma ZB"))))))))</f>
        <v>#DIV/0!</v>
      </c>
      <c r="H16" s="302" t="e">
        <f>IF('Envoltória e Pré-req dos Amb'!$E$10="ZB1",Q16,IF('Envoltória e Pré-req dos Amb'!$E$10="ZB2",Y16,IF('Envoltória e Pré-req dos Amb'!$E$10="ZB3",AG16,IF('Envoltória e Pré-req dos Amb'!$E$10="ZB4",AO16,IF('Envoltória e Pré-req dos Amb'!$E$10="ZB5",AW16,IF('Envoltória e Pré-req dos Amb'!$E$10="ZB6",BA16,IF('Envoltória e Pré-req dos Amb'!$E$10="ZB7",BE16,IF('Envoltória e Pré-req dos Amb'!$E$10="ZB8",AW16,"Escolha uma ZB"))))))))</f>
        <v>#DIV/0!</v>
      </c>
      <c r="I16" s="261" t="e">
        <f>IF('Envoltória e Pré-req dos Amb'!$E$10="ZB1",R16,IF('Envoltória e Pré-req dos Amb'!$E$10="ZB2",Z16,IF('Envoltória e Pré-req dos Amb'!$E$10="ZB3",AH16,IF('Envoltória e Pré-req dos Amb'!$E$10="ZB4",AP16,IF('Envoltória e Pré-req dos Amb'!$E$10="ZB5",AX16,IF('Envoltória e Pré-req dos Amb'!$E$10="ZB6",BB16,IF('Envoltória e Pré-req dos Amb'!$E$10="ZB7",BF16,IF('Envoltória e Pré-req dos Amb'!$E$10="ZB8",AX16,"Escolha uma ZB"))))))))</f>
        <v>#DIV/0!</v>
      </c>
      <c r="J16" s="309" t="e">
        <f>IF('Envoltória e Pré-req dos Amb'!$E$10="ZB1",S16,IF('Envoltória e Pré-req dos Amb'!$E$10="ZB2",AA16,IF('Envoltória e Pré-req dos Amb'!$E$10="ZB3",AI16,IF('Envoltória e Pré-req dos Amb'!$E$10="ZB4",AQ16,IF('Envoltória e Pré-req dos Amb'!$E$10="ZB5",0,IF('Envoltória e Pré-req dos Amb'!$E$10="ZB6",0,IF('Envoltória e Pré-req dos Amb'!$E$10="ZB7",0,IF('Envoltória e Pré-req dos Amb'!$E$10="ZB8",0,"Escolha uma ZB"))))))))</f>
        <v>#DIV/0!</v>
      </c>
      <c r="K16" s="266" t="e">
        <f>IF('Envoltória e Pré-req dos Amb'!$E$10="ZB1",T16,IF('Envoltória e Pré-req dos Amb'!$E$10="ZB2",AB16,IF('Envoltória e Pré-req dos Amb'!$E$10="ZB3",AJ16,IF('Envoltória e Pré-req dos Amb'!$E$10="ZB4",AR16,IF('Envoltória e Pré-req dos Amb'!$E$10="ZB5","Não se aplica",IF('Envoltória e Pré-req dos Amb'!$E$10="ZB6","Não se aplica",IF('Envoltória e Pré-req dos Amb'!$E$10="ZB7","Não se aplica",IF('Envoltória e Pré-req dos Amb'!$E$10="ZB8","Não se aplica","Escolha uma ZB"))))))))</f>
        <v>#DIV/0!</v>
      </c>
      <c r="L16" s="313" t="e">
        <f>IF('Envoltória e Pré-req dos Amb'!$E$10="ZB1",U16,IF('Envoltória e Pré-req dos Amb'!$E$10="ZB2",AC16,IF('Envoltória e Pré-req dos Amb'!$E$10="ZB3",AK16,IF('Envoltória e Pré-req dos Amb'!$E$10="ZB4",AS16,IF('Envoltória e Pré-req dos Amb'!$E$10="ZB5",0,IF('Envoltória e Pré-req dos Amb'!$E$10="ZB6",0,IF('Envoltória e Pré-req dos Amb'!$E$10="ZB7",0,IF('Envoltória e Pré-req dos Amb'!$E$10="ZB8",0,"Escolha uma ZB"))))))))</f>
        <v>#DIV/0!</v>
      </c>
      <c r="M16" s="262" t="e">
        <f>IF('Envoltória e Pré-req dos Amb'!$E$10="ZB1",V16,IF('Envoltória e Pré-req dos Amb'!$E$10="ZB2",AD16,IF('Envoltória e Pré-req dos Amb'!$E$10="ZB3",AL16,IF('Envoltória e Pré-req dos Amb'!$E$10="ZB4",AT16,IF('Envoltória e Pré-req dos Amb'!$E$10="ZB5","Não se aplica",IF('Envoltória e Pré-req dos Amb'!$E$10="ZB6","Não se aplica",IF('Envoltória e Pré-req dos Amb'!$E$10="ZB7","Não se aplica",IF('Envoltória e Pré-req dos Amb'!$E$10="ZB8","Não se aplica","Escolha uma ZB"))))))))</f>
        <v>#DIV/0!</v>
      </c>
      <c r="N16" s="230"/>
      <c r="O16" s="243" t="e">
        <f xml:space="preserve"> 94.05223724 + 'Envoltória e Pré-req dos Amb'!E22 * 123.0187663 + 'Envoltória e Pré-req dos Amb'!E35/'Envoltória e Pré-req dos Amb'!E12 * 164.3781445 + ('Envoltória e Pré-req dos Amb'!E16*(IF('Envoltória e Pré-req dos Amb'!E13=0,0,1)))*(('Envoltória e Pré-req dos Amb'!E18 + E16)*(IF('Envoltória e Pré-req dos Amb'!E13=0,0,1)))*'Envoltória e Pré-req dos Amb'!E13*'Envoltória e Pré-req dos Amb'!E12 * 2.635266317 + (('Envoltória e Pré-req dos Amb'!E16* (IF('Envoltória e Pré-req dos Amb'!E13=0,0,1)))* (('Envoltória e Pré-req dos Amb'!E18 + E16)*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 + E16)*(IF('Envoltória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16" s="238" t="e">
        <f>IF(O16&lt;ESCALAS!$B$5, "A", IF(O16&lt;ESCALAS!$B$6,"B", IF(O16&lt;ESCALAS!$B$7, "C", IF(O16&lt;ESCALAS!$B$8, "D", IF(O16&gt;ESCALAS!$B$8, "E", "")))))</f>
        <v>#DIV/0!</v>
      </c>
      <c r="Q16" s="239" t="e">
        <f xml:space="preserve"> 94.05223724 + 'Envoltória e Pré-req dos Amb'!E22 * 123.0187663 + 'Envoltória e Pré-req dos Amb'!E35/'Envoltória e Pré-req dos Amb'!E12 * 164.3781445 + ('Envoltória e Pré-req dos Amb'!E16*(IF('Envoltória e Pré-req dos Amb'!E13=0,0,1)))*(('Envoltória e Pré-req dos Amb'!E18 - E16)*(IF('Envoltória e Pré-req dos Amb'!E13=0,0,1)))*'Envoltória e Pré-req dos Amb'!E13*'Envoltória e Pré-req dos Amb'!E12 * 2.635266317 + (('Envoltória e Pré-req dos Amb'!E16* (IF('Envoltória e Pré-req dos Amb'!E13=0,0,1)))* (('Envoltória e Pré-req dos Amb'!E18 - E16)*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Amb'!E18 - E16)*(IF('Envoltória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16" s="240" t="e">
        <f>IF(Q16&lt;ESCALAS!$B$5, "A", IF(Q16&lt;ESCALAS!$B$6,"B", IF(Q16&lt;ESCALAS!$B$7, "C", IF(Q16&lt;ESCALAS!$B$8, "D", IF(Q16&gt;ESCALAS!$B$8, "E", "")))))</f>
        <v>#DIV/0!</v>
      </c>
      <c r="S16"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 + E16)*'Envoltória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 + E16)/'Envoltória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E16)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16" s="239" t="e">
        <f>IF(S16&lt;ESCALAS!$B$25, "A", IF(S16&lt;ESCALAS!$B$26,"B", IF(S16&lt;ESCALAS!$B$27, "C", IF(S16&lt;ESCALAS!$B$28, "D", IF(S16&gt;ESCALAS!$B$28, "E", "")))))</f>
        <v>#DIV/0!</v>
      </c>
      <c r="U16"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Amb'!E18 - E16)*'Envoltória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Amb'!E18 - E16)/'Envoltória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E16)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16" s="271" t="e">
        <f>IF(U16&lt;ESCALAS!$B$25, "A", IF(U16&lt;ESCALAS!$B$26,"B", IF(U16&lt;ESCALAS!$B$27, "C", IF(U16&lt;ESCALAS!$B$28, "D", IF(U16&gt;ESCALAS!$B$28, "E", "")))))</f>
        <v>#DIV/0!</v>
      </c>
      <c r="W16"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 + E16)*(IF(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 + E16)*(IF(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16" s="238" t="e">
        <f>IF(W16&lt;ESCALAS!$C$5, "A", IF(W16&lt;ESCALAS!$C$6,"B", IF(W16&lt;ESCALAS!$C$7, "C", IF(W16&lt;ESCALAS!$C$8, "D", IF(W16&gt;ESCALAS!$C$8, "E", "")))))</f>
        <v>#DIV/0!</v>
      </c>
      <c r="Y16"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Amb'!E18 - E16)*(IF(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Amb'!E18 - E16)*(IF(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16" s="240" t="e">
        <f>IF(Y16&lt;ESCALAS!$C$5, "A", IF(Y16&lt;ESCALAS!$C$6,"B", IF(Y16&lt;ESCALAS!$C$7, "C", IF(Y16&lt;ESCALAS!$C$8, "D", IF(Y16&gt;ESCALAS!$C$8, "E", "")))))</f>
        <v>#DIV/0!</v>
      </c>
      <c r="AA16"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 E16)/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 E16)*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E16)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16" s="239" t="e">
        <f>IF(AA16&lt;ESCALAS!$C$25, "A", IF(AA16&lt;ESCALAS!$C$26,"B", IF(AA16&lt;ESCALAS!$C$27, "C", IF(AA16&lt;ESCALAS!$C$28, "D", IF(AA16&gt;ESCALAS!$C$28, "E", "")))))</f>
        <v>#DIV/0!</v>
      </c>
      <c r="AC16"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 E16)/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 E16)*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E16)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16" s="271" t="e">
        <f>IF(AC16&lt;ESCALAS!$C$25, "A", IF(AC16&lt;ESCALAS!$C$26,"B", IF(AC16&lt;ESCALAS!$C$27, "C", IF(AC16&lt;ESCALAS!$C$28, "D", IF(AC16&gt;ESCALAS!$C$28, "E", "")))))</f>
        <v>#DIV/0!</v>
      </c>
      <c r="AE16" s="270" t="e">
        <f xml:space="preserve"> 836.4188333 +  'Envoltória e Pré-req dos Amb'!E22 * 1002.285324 + ( ('Envoltória e Pré-req dos Amb'!E18 + E16)*(IF(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 + E16)*(IF(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16" s="238" t="e">
        <f>IF(AE16&lt;ESCALAS!$D$5, "A", IF(AE16&lt;ESCALAS!$D$6,"B", IF(AE16&lt;ESCALAS!$D$7, "C", IF(AE16&lt;ESCALAS!$D$8, "D", IF(AE16&gt;ESCALAS!$D$8, "E", "")))))</f>
        <v>#DIV/0!</v>
      </c>
      <c r="AG16" s="270" t="e">
        <f xml:space="preserve"> 836.4188333 +  'Envoltória e Pré-req dos Amb'!E22 * 1002.285324 + ( ('Envoltória e Pré-req dos Amb'!E18 - E16)*(IF(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Amb'!E18 - E16)*(IF(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16" s="240" t="e">
        <f>IF(AG16&lt;ESCALAS!$D$5, "A", IF(AG16&lt;ESCALAS!$D$6,"B", IF(AG16&lt;ESCALAS!$D$7, "C", IF(AG16&lt;ESCALAS!$D$8, "D", IF(AG16&gt;ESCALAS!$D$8, "E", "")))))</f>
        <v>#DIV/0!</v>
      </c>
      <c r="AI16"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 + E16)*(IF(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16" s="239" t="e">
        <f>IF(AI16&lt;ESCALAS!$D$25, "A", IF(AI16&lt;ESCALAS!$D$26,"B", IF(AI16&lt;ESCALAS!$D$27, "C", IF(AI16&lt;ESCALAS!$D$28, "D", IF(AI16&gt;ESCALAS!$D$28, "E", "")))))</f>
        <v>#DIV/0!</v>
      </c>
      <c r="AK16"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Amb'!E18 - E16)*(IF(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16" s="271" t="e">
        <f>IF(AK16&lt;ESCALAS!$D$25, "A", IF(AK16&lt;ESCALAS!$D$26,"B", IF(AK16&lt;ESCALAS!$D$27, "C", IF(AK16&lt;ESCALAS!$D$28, "D", IF(AK16&gt;ESCALAS!$D$28, "E", "")))))</f>
        <v>#DIV/0!</v>
      </c>
      <c r="AM16" s="270" t="e">
        <f xml:space="preserve"> 641.187885 +  'Envoltória e Pré-req dos Amb'!E22 * 748.0024 + ( ('Envoltória e Pré-req dos Amb'!E18 + E16)*(IF(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 + E16)*(IF( 'Envoltória e Pré-req dos Amb'!E13=0,0,1)))* 'Envoltória e Pré-req dos Amb'!E13* 'Envoltória e Pré-req dos Amb'!E12 * 29.05099819 +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16" s="238" t="e">
        <f>IF(AM16&lt;ESCALAS!$E$5, "A", IF(AM16&lt;ESCALAS!$E$6,"B", IF(AM16&lt;ESCALAS!$E$7, "C", IF(AM16&lt;ESCALAS!$E$8, "D", IF(AM16&gt;ESCALAS!$E$8, "E", "")))))</f>
        <v>#DIV/0!</v>
      </c>
      <c r="AO16" s="270" t="e">
        <f xml:space="preserve"> 641.187885 +  'Envoltória e Pré-req dos Amb'!E22 * 748.0024 + ( ('Envoltória e Pré-req dos Amb'!E18 - E16)*(IF(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Amb'!E18 - E16)*(IF( 'Envoltória e Pré-req dos Amb'!E13=0,0,1)))* 'Envoltória e Pré-req dos Amb'!E13* 'Envoltória e Pré-req dos Amb'!E12 * 29.05099819 +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16" s="240" t="e">
        <f>IF(AO16&lt;ESCALAS!$E$5, "A", IF(AO16&lt;ESCALAS!$E$6,"B", IF(AO16&lt;ESCALAS!$E$7, "C", IF(AO16&lt;ESCALAS!$E$8, "D", IF(AO16&gt;ESCALAS!$E$8, "E", "")))))</f>
        <v>#DIV/0!</v>
      </c>
      <c r="AQ16"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 + E16)*(IF(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R16" s="239" t="str">
        <f>IF(AQ16&lt;ESCALAS!$E$25, "A", IF(AQ16&lt;ESCALAS!$E$26,"B", IF(AQ16&lt;ESCALAS!$E$27, "C", IF(AQ16&lt;ESCALAS!$E$28, "D", IF(AQ16&gt;ESCALAS!$E$28, "E", "")))))</f>
        <v>A</v>
      </c>
      <c r="AS16"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Amb'!E18 - E16)*(IF(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T16" s="271" t="str">
        <f>IF(AS16&lt;ESCALAS!$E$25, "A", IF(AS16&lt;ESCALAS!$E$26,"B", IF(AS16&lt;ESCALAS!$E$27, "C", IF(AS16&lt;ESCALAS!$E$28, "D", IF(AS16&gt;ESCALAS!$E$28, "E", "")))))</f>
        <v>A</v>
      </c>
      <c r="AU16" s="270" t="e">
        <f xml:space="preserve"> 4957.705139 +  'Envoltória e Pré-req dos Amb'!E33 * -4358.312039 + ( ('Envoltória e Pré-req dos Amb'!E18 + E16)*(IF(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 + E16)*(IF(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16" s="238" t="e">
        <f>IF(AU16&lt;ESCALAS!$H$5, "A", IF(AU16&lt;ESCALAS!$H$6,"B", IF(AU16&lt;ESCALAS!$H$7, "C", IF(AU16&lt;ESCALAS!$H$8, "D", IF(AU16&gt;ESCALAS!$H$8, "E", "")))))</f>
        <v>#DIV/0!</v>
      </c>
      <c r="AW16" s="270" t="e">
        <f xml:space="preserve"> 4957.705139 +  'Envoltória e Pré-req dos Amb'!E33 * -4358.312039 + ( ('Envoltória e Pré-req dos Amb'!E18 - E16)*(IF(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Amb'!E18 - E16)*(IF(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16" s="240" t="e">
        <f>IF(AW16&lt;ESCALAS!$H$5, "A", IF(AW16&lt;ESCALAS!$H$6,"B", IF(AW16&lt;ESCALAS!$H$7, "C", IF(AW16&lt;ESCALAS!$H$8, "D", IF(AW16&gt;ESCALAS!$H$8, "E", "")))))</f>
        <v>#DIV/0!</v>
      </c>
      <c r="AY16" s="270" t="e">
        <f xml:space="preserve"> 2761.081043 +  'Envoltória e Pré-req dos Amb'!E22 * 3125.513889 + ( ('Envoltória e Pré-req dos Amb'!E18 + E16)*(IF(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 + E16)*(IF(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16" s="238" t="e">
        <f>IF(AY16&lt;ESCALAS!$F$5, "A", IF(AY16&lt;ESCALAS!$F$6,"B", IF(AY16&lt;ESCALAS!$F$7, "C", IF(AY16&lt;ESCALAS!$F$8, "D", IF(AY16&gt;ESCALAS!$F$8, "E", "")))))</f>
        <v>#DIV/0!</v>
      </c>
      <c r="BA16" s="270" t="e">
        <f xml:space="preserve"> 2761.081043 +  'Envoltória e Pré-req dos Amb'!E22 * 3125.513889 + ( ('Envoltória e Pré-req dos Amb'!E18 - E16)*(IF(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Amb'!E18 - E16)*(IF(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Amb'!E18 - E16)*(IF(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16" s="240" t="e">
        <f>IF(BA16&lt;ESCALAS!$F$5, "A", IF(BA16&lt;ESCALAS!$F$6,"B", IF(BA16&lt;ESCALAS!$F$7, "C", IF(BA16&lt;ESCALAS!$F$8, "D", IF(BA16&gt;ESCALAS!$F$8, "E", "")))))</f>
        <v>#DIV/0!</v>
      </c>
      <c r="BC16" s="270" t="e">
        <f xml:space="preserve"> 16195.93769 +  'Envoltória e Pré-req dos Amb'!E33 * -6292.188506 + ( ('Envoltória e Pré-req dos Amb'!E18 + E16)*(IF(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 + E16)*(IF(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16" s="238" t="e">
        <f>IF(BC16&lt;ESCALAS!$G$5, "A", IF(BC16&lt;ESCALAS!$G$6,"B", IF(BC16&lt;ESCALAS!$G$7, "C", IF(BC16&lt;ESCALAS!$G$8, "D", IF(BC16&gt;ESCALAS!$G$8, "E", "")))))</f>
        <v>#DIV/0!</v>
      </c>
      <c r="BE16" s="270" t="e">
        <f xml:space="preserve"> 16195.93769 +  'Envoltória e Pré-req dos Amb'!E33 * -6292.188506 + ( ('Envoltória e Pré-req dos Amb'!E18 - E16)*(IF(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Amb'!E18 - E16)*(IF(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16" s="240" t="e">
        <f>IF(BE16&lt;ESCALAS!$G$5, "A", IF(BE16&lt;ESCALAS!$G$6,"B", IF(BE16&lt;ESCALAS!$G$7, "C", IF(BE16&lt;ESCALAS!$G$8, "D", IF(BE16&gt;ESCALAS!$G$8, "E", "")))))</f>
        <v>#DIV/0!</v>
      </c>
    </row>
    <row r="17" spans="2:58" x14ac:dyDescent="0.2">
      <c r="B17" s="341" t="s">
        <v>52</v>
      </c>
      <c r="C17" s="103" t="s">
        <v>46</v>
      </c>
      <c r="D17" s="85">
        <v>0.5</v>
      </c>
      <c r="E17" s="283">
        <v>0.5</v>
      </c>
      <c r="F17" s="294" t="e">
        <f>IF('Envoltória e Pré-req dos Amb'!$E$10="ZB1",O17,IF('Envoltória e Pré-req dos Amb'!$E$10="ZB2",W17,IF('Envoltória e Pré-req dos Amb'!$E$10="ZB3",AE17,IF('Envoltória e Pré-req dos Amb'!$E$10="ZB4",AM17,IF('Envoltória e Pré-req dos Amb'!$E$10="ZB5",AU17,IF('Envoltória e Pré-req dos Amb'!$E$10="ZB6",AY17,IF('Envoltória e Pré-req dos Amb'!$E$10="ZB7",BC17,IF('Envoltória e Pré-req dos Amb'!$E$10="ZB8",AU17,"Escolha uma ZB"))))))))</f>
        <v>#DIV/0!</v>
      </c>
      <c r="G17" s="264" t="e">
        <f>IF('Envoltória e Pré-req dos Amb'!$E$10="ZB1",P17,IF('Envoltória e Pré-req dos Amb'!$E$10="ZB2",X17,IF('Envoltória e Pré-req dos Amb'!$E$10="ZB3",AF17,IF('Envoltória e Pré-req dos Amb'!$E$10="ZB4",AN17,IF('Envoltória e Pré-req dos Amb'!$E$10="ZB5",AV17,IF('Envoltória e Pré-req dos Amb'!$E$10="ZB6",AZ17,IF('Envoltória e Pré-req dos Amb'!$E$10="ZB7",BD17,IF('Envoltória e Pré-req dos Amb'!$E$10="ZB8",AV17,"Escolha uma ZB"))))))))</f>
        <v>#DIV/0!</v>
      </c>
      <c r="H17" s="300" t="e">
        <f>IF('Envoltória e Pré-req dos Amb'!$E$10="ZB1",Q17,IF('Envoltória e Pré-req dos Amb'!$E$10="ZB2",Y17,IF('Envoltória e Pré-req dos Amb'!$E$10="ZB3",AG17,IF('Envoltória e Pré-req dos Amb'!$E$10="ZB4",AO17,IF('Envoltória e Pré-req dos Amb'!$E$10="ZB5",AW17,IF('Envoltória e Pré-req dos Amb'!$E$10="ZB6",BA17,IF('Envoltória e Pré-req dos Amb'!$E$10="ZB7",BE17,IF('Envoltória e Pré-req dos Amb'!$E$10="ZB8",AW17,"Escolha uma ZB"))))))))</f>
        <v>#DIV/0!</v>
      </c>
      <c r="I17" s="257" t="e">
        <f>IF('Envoltória e Pré-req dos Amb'!$E$10="ZB1",R17,IF('Envoltória e Pré-req dos Amb'!$E$10="ZB2",Z17,IF('Envoltória e Pré-req dos Amb'!$E$10="ZB3",AH17,IF('Envoltória e Pré-req dos Amb'!$E$10="ZB4",AP17,IF('Envoltória e Pré-req dos Amb'!$E$10="ZB5",AX17,IF('Envoltória e Pré-req dos Amb'!$E$10="ZB6",BB17,IF('Envoltória e Pré-req dos Amb'!$E$10="ZB7",BF17,IF('Envoltória e Pré-req dos Amb'!$E$10="ZB8",AX17,"Escolha uma ZB"))))))))</f>
        <v>#DIV/0!</v>
      </c>
      <c r="J17" s="307" t="e">
        <f>IF('Envoltória e Pré-req dos Amb'!$E$10="ZB1",S17,IF('Envoltória e Pré-req dos Amb'!$E$10="ZB2",AA17,IF('Envoltória e Pré-req dos Amb'!$E$10="ZB3",AI17,IF('Envoltória e Pré-req dos Amb'!$E$10="ZB4",AQ17,IF('Envoltória e Pré-req dos Amb'!$E$10="ZB5",0,IF('Envoltória e Pré-req dos Amb'!$E$10="ZB6",0,IF('Envoltória e Pré-req dos Amb'!$E$10="ZB7",0,IF('Envoltória e Pré-req dos Amb'!$E$10="ZB8",0,"Escolha uma ZB"))))))))</f>
        <v>#DIV/0!</v>
      </c>
      <c r="K17" s="264" t="e">
        <f>IF('Envoltória e Pré-req dos Amb'!$E$10="ZB1",T17,IF('Envoltória e Pré-req dos Amb'!$E$10="ZB2",AB17,IF('Envoltória e Pré-req dos Amb'!$E$10="ZB3",AJ17,IF('Envoltória e Pré-req dos Amb'!$E$10="ZB4",AR17,IF('Envoltória e Pré-req dos Amb'!$E$10="ZB5","Não se aplica",IF('Envoltória e Pré-req dos Amb'!$E$10="ZB6","Não se aplica",IF('Envoltória e Pré-req dos Amb'!$E$10="ZB7","Não se aplica",IF('Envoltória e Pré-req dos Amb'!$E$10="ZB8","Não se aplica","Escolha uma ZB"))))))))</f>
        <v>#DIV/0!</v>
      </c>
      <c r="L17" s="311" t="e">
        <f>IF('Envoltória e Pré-req dos Amb'!$E$10="ZB1",U17,IF('Envoltória e Pré-req dos Amb'!$E$10="ZB2",AC17,IF('Envoltória e Pré-req dos Amb'!$E$10="ZB3",AK17,IF('Envoltória e Pré-req dos Amb'!$E$10="ZB4",AS17,IF('Envoltória e Pré-req dos Amb'!$E$10="ZB5",0,IF('Envoltória e Pré-req dos Amb'!$E$10="ZB6",0,IF('Envoltória e Pré-req dos Amb'!$E$10="ZB7",0,IF('Envoltória e Pré-req dos Amb'!$E$10="ZB8",0,"Escolha uma ZB"))))))))</f>
        <v>#DIV/0!</v>
      </c>
      <c r="M17" s="258" t="e">
        <f>IF('Envoltória e Pré-req dos Amb'!$E$10="ZB1",V17,IF('Envoltória e Pré-req dos Amb'!$E$10="ZB2",AD17,IF('Envoltória e Pré-req dos Amb'!$E$10="ZB3",AL17,IF('Envoltória e Pré-req dos Amb'!$E$10="ZB4",AT17,IF('Envoltória e Pré-req dos Amb'!$E$10="ZB5","Não se aplica",IF('Envoltória e Pré-req dos Amb'!$E$10="ZB6","Não se aplica",IF('Envoltória e Pré-req dos Amb'!$E$10="ZB7","Não se aplica",IF('Envoltória e Pré-req dos Amb'!$E$10="ZB8","Não se aplica","Escolha uma ZB"))))))))</f>
        <v>#DIV/0!</v>
      </c>
      <c r="N17" s="230"/>
      <c r="O17"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 E17)*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 + E17)*'Envoltória e Pré-req dos Amb'!E21 * 2.459633866 + 'Envoltória e Pré-req dos Amb'!E26*('Envoltória e Pré-req dos Amb'!E19 + E17) * -1.01866796 + 'Envoltória e Pré-req dos Amb'!E29*'Envoltória e Pré-req dos Amb'!E33 * 2.278496034 + 'Envoltória e Pré-req dos Amb'!E31*'Envoltória e Pré-req dos Amb'!E33 * 2.953739742 + 'Envoltória e Pré-req dos Amb'!E25*('Envoltória e Pré-req dos Amb'!E19 + E17)*'Envoltória e Pré-req dos Amb'!E21 * 0.473241363 + 'Envoltória e Pré-req dos Amb'!E21 * 15.32555102 + 'Envoltória e Pré-req dos Amb'!E23 * 16.23447628 + ('Envoltória e Pré-req dos Amb'!E19 + E17) * -12.2883028 + 'Envoltória e Pré-req dos Amb'!E29*'Envoltória e Pré-req dos Amb'!E32 * 2.638956176 + 'Envoltória e Pré-req dos Amb'!E27*('Envoltória e Pré-req dos Amb'!E19 + E17)*'Envoltória e Pré-req dos Amb'!E21 * 1.774450991 + 'Envoltória e Pré-req dos Amb'!E27*('Envoltória e Pré-req dos Amb'!E19 + E17) * -0.767798836 + IF('Envoltória e Pré-req dos Amb'!E24=0,0,1) * 22.10773117 + IF('Envoltória e Pré-req dos Amb'!E28=0,0,1) * -15.78410342</f>
        <v>#DIV/0!</v>
      </c>
      <c r="P17" s="238" t="e">
        <f>IF(O17&lt;ESCALAS!$B$5, "A", IF(O17&lt;ESCALAS!$B$6,"B", IF(O17&lt;ESCALAS!$B$7, "C", IF(O17&lt;ESCALAS!$B$8, "D", IF(O17&gt;ESCALAS!$B$8, "E", "")))))</f>
        <v>#DIV/0!</v>
      </c>
      <c r="Q17"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 E17)*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Amb'!E19 - E17)*'Envoltória e Pré-req dos Amb'!E21 * 2.459633866 + 'Envoltória e Pré-req dos Amb'!E26*('Envoltória e Pré-req dos Amb'!E19 - E17) * -1.01866796 + 'Envoltória e Pré-req dos Amb'!E29*'Envoltória e Pré-req dos Amb'!E33 * 2.278496034 + 'Envoltória e Pré-req dos Amb'!E31*'Envoltória e Pré-req dos Amb'!E33 * 2.953739742 + 'Envoltória e Pré-req dos Amb'!E25*('Envoltória e Pré-req dos Amb'!E19 - E17)*'Envoltória e Pré-req dos Amb'!E21 * 0.473241363 + 'Envoltória e Pré-req dos Amb'!E21 * 15.32555102 + 'Envoltória e Pré-req dos Amb'!E23 * 16.23447628 + ('Envoltória e Pré-req dos Amb'!E19 - E17) * -12.2883028 + 'Envoltória e Pré-req dos Amb'!E29*'Envoltória e Pré-req dos Amb'!E32 * 2.638956176 + 'Envoltória e Pré-req dos Amb'!E27*('Envoltória e Pré-req dos Amb'!E19 - E17)*'Envoltória e Pré-req dos Amb'!E21 * 1.774450991 + 'Envoltória e Pré-req dos Amb'!E27*('Envoltória e Pré-req dos Amb'!E19 - E17) * -0.767798836 + IF('Envoltória e Pré-req dos Amb'!E24=0,0,1) * 22.10773117 + IF('Envoltória e Pré-req dos Amb'!E28=0,0,1) * -15.78410342</f>
        <v>#DIV/0!</v>
      </c>
      <c r="R17" s="240" t="e">
        <f>IF(Q17&lt;ESCALAS!$B$5, "A", IF(Q17&lt;ESCALAS!$B$6,"B", IF(Q17&lt;ESCALAS!$B$7, "C", IF(Q17&lt;ESCALAS!$B$8, "D", IF(Q17&gt;ESCALAS!$B$8, "E", "")))))</f>
        <v>#DIV/0!</v>
      </c>
      <c r="S17"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 + E17)*'Envoltória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E17)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E17) * 3414 + 'Envoltória e Pré-req dos Amb'!E25*('Envoltória e Pré-req dos Amb'!E19 + E17)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 + E17)*'Envoltória e Pré-req dos Amb'!E21 * -3226 + 'Envoltória e Pré-req dos Amb'!E25*('Envoltória e Pré-req dos Amb'!E19 + E17)*'Envoltória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17" s="239" t="e">
        <f>IF(S17&lt;ESCALAS!$B$25, "A", IF(S17&lt;ESCALAS!$B$26,"B", IF(S17&lt;ESCALAS!$B$27, "C", IF(S17&lt;ESCALAS!$B$28, "D", IF(S17&gt;ESCALAS!$B$28, "E", "")))))</f>
        <v>#DIV/0!</v>
      </c>
      <c r="U17"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Amb'!E19 - E17)*'Envoltória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E17)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E17) * 3414 + 'Envoltória e Pré-req dos Amb'!E25*('Envoltória e Pré-req dos Amb'!E19 - E17)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Amb'!E19 - E17)*'Envoltória e Pré-req dos Amb'!E21 * -3226 + 'Envoltória e Pré-req dos Amb'!E25*('Envoltória e Pré-req dos Amb'!E19 - E17)*'Envoltória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17" s="271" t="e">
        <f>IF(U17&lt;ESCALAS!$B$25, "A", IF(U17&lt;ESCALAS!$B$26,"B", IF(U17&lt;ESCALAS!$B$27, "C", IF(U17&lt;ESCALAS!$B$28, "D", IF(U17&gt;ESCALAS!$B$28, "E", "")))))</f>
        <v>#DIV/0!</v>
      </c>
      <c r="W17"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E17)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 E17)* 'Envoltória e Pré-req dos Amb'!E21 * 44.09628267 +  'Envoltória e Pré-req dos Amb'!E24* ('Envoltória e Pré-req dos Amb'!E19 + E17)* 'Envoltória e Pré-req dos Amb'!E21 * 108.600273 +  'Envoltória e Pré-req dos Amb'!E15 * -314.5094487 +  'Envoltória e Pré-req dos Amb'!E30*IMABS( 'Envoltória e Pré-req dos Amb'!E33-1) * 84.73378113 +  'Envoltória e Pré-req dos Amb'!E27* ('Envoltória e Pré-req dos Amb'!E19 + E17)* 'Envoltória e Pré-req dos Amb'!E21 * 36.28553911 + ( ('Envoltória e Pré-req dos Amb'!E19 + E17)* 'Envoltória e Pré-req dos Amb'!E21/ 'Envoltória e Pré-req dos Amb'!E20)*( 'Envoltória e Pré-req dos Amb'!E24+ 'Envoltória e Pré-req dos Amb'!E25+ 'Envoltória e Pré-req dos Amb'!E26+ 'Envoltória e Pré-req dos Amb'!E27) * -4.07760881 +  'Envoltória e Pré-req dos Amb'!E25* ('Envoltória e Pré-req dos Amb'!E19 + E17)*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E17)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E17)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17" s="238" t="e">
        <f>IF(W17&lt;ESCALAS!$C$5, "A", IF(W17&lt;ESCALAS!$C$6,"B", IF(W17&lt;ESCALAS!$C$7, "C", IF(W17&lt;ESCALAS!$C$8, "D", IF(W17&gt;ESCALAS!$C$8, "E", "")))))</f>
        <v>#DIV/0!</v>
      </c>
      <c r="Y17"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E17)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 E17)* 'Envoltória e Pré-req dos Amb'!E21 * 44.09628267 +  'Envoltória e Pré-req dos Amb'!E24* ('Envoltória e Pré-req dos Amb'!E19 - E17)* 'Envoltória e Pré-req dos Amb'!E21 * 108.600273 +  'Envoltória e Pré-req dos Amb'!E15 * -314.5094487 +  'Envoltória e Pré-req dos Amb'!E30*IMABS( 'Envoltória e Pré-req dos Amb'!E33-1) * 84.73378113 +  'Envoltória e Pré-req dos Amb'!E27* ('Envoltória e Pré-req dos Amb'!E19 - E17)* 'Envoltória e Pré-req dos Amb'!E21 * 36.28553911 + ( ('Envoltória e Pré-req dos Amb'!E19 - E17)* 'Envoltória e Pré-req dos Amb'!E21/ 'Envoltória e Pré-req dos Amb'!E20)*( 'Envoltória e Pré-req dos Amb'!E24+ 'Envoltória e Pré-req dos Amb'!E25+ 'Envoltória e Pré-req dos Amb'!E26+ 'Envoltória e Pré-req dos Amb'!E27) * -4.07760881 +  'Envoltória e Pré-req dos Amb'!E25* ('Envoltória e Pré-req dos Amb'!E19 - E17)*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E17)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E17)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17" s="240" t="e">
        <f>IF(Y17&lt;ESCALAS!$C$5, "A", IF(Y17&lt;ESCALAS!$C$6,"B", IF(Y17&lt;ESCALAS!$C$7, "C", IF(Y17&lt;ESCALAS!$C$8, "D", IF(Y17&gt;ESCALAS!$C$8, "E", "")))))</f>
        <v>#DIV/0!</v>
      </c>
      <c r="AA17"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 E17)*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E17)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E17) * 2189 +  'Envoltória e Pré-req dos Amb'!E25* ('Envoltória e Pré-req dos Amb'!E19 + E17)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 E17)* 'Envoltória e Pré-req dos Amb'!E21 * -1764 +  'Envoltória e Pré-req dos Amb'!E30* 'Envoltória e Pré-req dos Amb'!E32 * -7382 +  'Envoltória e Pré-req dos Amb'!E24* ('Envoltória e Pré-req dos Amb'!E19 + E17)*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17" s="239" t="e">
        <f>IF(AA17&lt;ESCALAS!$C$25, "A", IF(AA17&lt;ESCALAS!$C$26,"B", IF(AA17&lt;ESCALAS!$C$27, "C", IF(AA17&lt;ESCALAS!$C$28, "D", IF(AA17&gt;ESCALAS!$C$28, "E", "")))))</f>
        <v>#DIV/0!</v>
      </c>
      <c r="AC17"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 E17)*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E17)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E17) * 2189 +  'Envoltória e Pré-req dos Amb'!E25* ('Envoltória e Pré-req dos Amb'!E19 - E17)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 E17)* 'Envoltória e Pré-req dos Amb'!E21 * -1764 +  'Envoltória e Pré-req dos Amb'!E30* 'Envoltória e Pré-req dos Amb'!E32 * -7382 +  'Envoltória e Pré-req dos Amb'!E24* ('Envoltória e Pré-req dos Amb'!E19 - E17)*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17" s="271" t="e">
        <f>IF(AC17&lt;ESCALAS!$C$25, "A", IF(AC17&lt;ESCALAS!$C$26,"B", IF(AC17&lt;ESCALAS!$C$27, "C", IF(AC17&lt;ESCALAS!$C$28, "D", IF(AC17&gt;ESCALAS!$C$28, "E", "")))))</f>
        <v>#DIV/0!</v>
      </c>
      <c r="AE17"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 E17)*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 E17)*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 E17)*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 E17)* 'Envoltória e Pré-req dos Amb'!E21 * 15.3350994 +  'Envoltória e Pré-req dos Amb'!E25 * 26.09247753 +  'Envoltória e Pré-req dos Amb'!E28*IMABS( 'Envoltória e Pré-req dos Amb'!E33-1) * -34.77773789</f>
        <v>#DIV/0!</v>
      </c>
      <c r="AF17" s="238" t="e">
        <f>IF(AE17&lt;ESCALAS!$D$5, "A", IF(AE17&lt;ESCALAS!$D$6,"B", IF(AE17&lt;ESCALAS!$D$7, "C", IF(AE17&lt;ESCALAS!$D$8, "D", IF(AE17&gt;ESCALAS!$D$8, "E", "")))))</f>
        <v>#DIV/0!</v>
      </c>
      <c r="AG17"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 E17)*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 E17)*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 E17)*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 E17)* 'Envoltória e Pré-req dos Amb'!E21 * 15.3350994 +  'Envoltória e Pré-req dos Amb'!E25 * 26.09247753 +  'Envoltória e Pré-req dos Amb'!E28*IMABS( 'Envoltória e Pré-req dos Amb'!E33-1) * -34.77773789</f>
        <v>#DIV/0!</v>
      </c>
      <c r="AH17" s="240" t="e">
        <f>IF(AG17&lt;ESCALAS!$D$5, "A", IF(AG17&lt;ESCALAS!$D$6,"B", IF(AG17&lt;ESCALAS!$D$7, "C", IF(AG17&lt;ESCALAS!$D$8, "D", IF(AG17&gt;ESCALAS!$D$8, "E", "")))))</f>
        <v>#DIV/0!</v>
      </c>
      <c r="AI17"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E17)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17" s="239" t="e">
        <f>IF(AI17&lt;ESCALAS!$D$25, "A", IF(AI17&lt;ESCALAS!$D$26,"B", IF(AI17&lt;ESCALAS!$D$27, "C", IF(AI17&lt;ESCALAS!$D$28, "D", IF(AI17&gt;ESCALAS!$D$28, "E", "")))))</f>
        <v>#DIV/0!</v>
      </c>
      <c r="AK17"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E17)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17" s="271" t="e">
        <f>IF(AK17&lt;ESCALAS!$D$25, "A", IF(AK17&lt;ESCALAS!$D$26,"B", IF(AK17&lt;ESCALAS!$D$27, "C", IF(AK17&lt;ESCALAS!$D$28, "D", IF(AK17&gt;ESCALAS!$D$28, "E", "")))))</f>
        <v>#DIV/0!</v>
      </c>
      <c r="AM17"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 E17)*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 E17)* 'Envoltória e Pré-req dos Amb'!E21/ 'Envoltória e Pré-req dos Amb'!E20)*( 'Envoltória e Pré-req dos Amb'!E24+ 'Envoltória e Pré-req dos Amb'!E25+ 'Envoltória e Pré-req dos Amb'!E26+ 'Envoltória e Pré-req dos Amb'!E27) * 0.812970166 +  ('Envoltória e Pré-req dos Amb'!E19 + E17) * -177.010526 +  'Envoltória e Pré-req dos Amb'!E23 * 101.9693559 +  'Envoltória e Pré-req dos Amb'!E28* 'Envoltória e Pré-req dos Amb'!E33 * 16.689804 +  'Envoltória e Pré-req dos Amb'!E25 * 26.97532108 +  'Envoltória e Pré-req dos Amb'!E27* ('Envoltória e Pré-req dos Amb'!E19 + E17)* 'Envoltória e Pré-req dos Amb'!E21 * 8.355821307 +  'Envoltória e Pré-req dos Amb'!E30*IMABS( 'Envoltória e Pré-req dos Amb'!E33-1) * -13.36922974</f>
        <v>#DIV/0!</v>
      </c>
      <c r="AN17" s="238" t="e">
        <f>IF(AM17&lt;ESCALAS!$E$5, "A", IF(AM17&lt;ESCALAS!$E$6,"B", IF(AM17&lt;ESCALAS!$E$7, "C", IF(AM17&lt;ESCALAS!$E$8, "D", IF(AM17&gt;ESCALAS!$E$8, "E", "")))))</f>
        <v>#DIV/0!</v>
      </c>
      <c r="AO17"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 E17)*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 E17)* 'Envoltória e Pré-req dos Amb'!E21/ 'Envoltória e Pré-req dos Amb'!E20)*( 'Envoltória e Pré-req dos Amb'!E24+ 'Envoltória e Pré-req dos Amb'!E25+ 'Envoltória e Pré-req dos Amb'!E26+ 'Envoltória e Pré-req dos Amb'!E27) * 0.812970166 +  ('Envoltória e Pré-req dos Amb'!E19 - E17) * -177.010526 +  'Envoltória e Pré-req dos Amb'!E23 * 101.9693559 +  'Envoltória e Pré-req dos Amb'!E28* 'Envoltória e Pré-req dos Amb'!E33 * 16.689804 +  'Envoltória e Pré-req dos Amb'!E25 * 26.97532108 +  'Envoltória e Pré-req dos Amb'!E27* ('Envoltória e Pré-req dos Amb'!E19 - E17)* 'Envoltória e Pré-req dos Amb'!E21 * 8.355821307 +  'Envoltória e Pré-req dos Amb'!E30*IMABS( 'Envoltória e Pré-req dos Amb'!E33-1) * -13.36922974</f>
        <v>#DIV/0!</v>
      </c>
      <c r="AP17" s="240" t="e">
        <f>IF(AO17&lt;ESCALAS!$E$5, "A", IF(AO17&lt;ESCALAS!$E$6,"B", IF(AO17&lt;ESCALAS!$E$7, "C", IF(AO17&lt;ESCALAS!$E$8, "D", IF(AO17&gt;ESCALAS!$E$8, "E", "")))))</f>
        <v>#DIV/0!</v>
      </c>
      <c r="AQ17" s="270">
        <f>(-384.1715324 + 'Envoltória e Pré-req dos Amb'!E22 * 1948.761766 + 'Envoltória e Pré-req dos Amb'!E12 * 223.8194969 + 'Envoltória e Pré-req dos Amb'!E33 * 849.5126052 + 'Envoltória e Pré-req dos Amb'!E25* ('Envoltória e Pré-req dos Amb'!E19 + E17)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E17)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 E17)* 'Envoltória e Pré-req dos Amb'!E21 * -34.36252394 + 'Envoltória e Pré-req dos Amb'!E35 * 1636.10823 + 'Envoltória e Pré-req dos Amb'!E25* ('Envoltória e Pré-req dos Amb'!E19 + E17)* 'Envoltória e Pré-req dos Amb'!E21 * -29.78486643 + 'Envoltória e Pré-req dos Amb'!E35* 'Envoltória e Pré-req dos Amb'!E12 * -104.071993)/1000</f>
        <v>-8.8625978050000012E-2</v>
      </c>
      <c r="AR17" s="239" t="str">
        <f>IF(AQ17&lt;ESCALAS!$E$25, "A", IF(AQ17&lt;ESCALAS!$E$26,"B", IF(AQ17&lt;ESCALAS!$E$27, "C", IF(AQ17&lt;ESCALAS!$E$28, "D", IF(AQ17&gt;ESCALAS!$E$28, "E", "")))))</f>
        <v>A</v>
      </c>
      <c r="AS17" s="270">
        <f>(-384.1715324 + 'Envoltória e Pré-req dos Amb'!E22 * 1948.761766 + 'Envoltória e Pré-req dos Amb'!E12 * 223.8194969 + 'Envoltória e Pré-req dos Amb'!E33 * 849.5126052 + 'Envoltória e Pré-req dos Amb'!E25* ('Envoltória e Pré-req dos Amb'!E19 - E17)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E17)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 E17)* 'Envoltória e Pré-req dos Amb'!E21 * -34.36252394 + 'Envoltória e Pré-req dos Amb'!E35 * 1636.10823 + 'Envoltória e Pré-req dos Amb'!E25* ('Envoltória e Pré-req dos Amb'!E19 - E17)* 'Envoltória e Pré-req dos Amb'!E21 * -29.78486643 + 'Envoltória e Pré-req dos Amb'!E35* 'Envoltória e Pré-req dos Amb'!E12 * -104.071993)/1000</f>
        <v>-0.67971708674999987</v>
      </c>
      <c r="AT17" s="271" t="str">
        <f>IF(AS17&lt;ESCALAS!$E$25, "A", IF(AS17&lt;ESCALAS!$E$26,"B", IF(AS17&lt;ESCALAS!$E$27, "C", IF(AS17&lt;ESCALAS!$E$28, "D", IF(AS17&gt;ESCALAS!$E$28, "E", "")))))</f>
        <v>A</v>
      </c>
      <c r="AU17"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 E17)*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 E17)*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 E17)*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17" s="238" t="e">
        <f>IF(AU17&lt;ESCALAS!$H$5, "A", IF(AU17&lt;ESCALAS!$H$6,"B", IF(AU17&lt;ESCALAS!$H$7, "C", IF(AU17&lt;ESCALAS!$H$8, "D", IF(AU17&gt;ESCALAS!$H$8, "E", "")))))</f>
        <v>#DIV/0!</v>
      </c>
      <c r="AW17"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 E17)*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 E17)*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 E17)*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17" s="240" t="e">
        <f>IF(AW17&lt;ESCALAS!$H$5, "A", IF(AW17&lt;ESCALAS!$H$6,"B", IF(AW17&lt;ESCALAS!$H$7, "C", IF(AW17&lt;ESCALAS!$H$8, "D", IF(AW17&gt;ESCALAS!$H$8, "E", "")))))</f>
        <v>#DIV/0!</v>
      </c>
      <c r="AY17"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 E17)* 'Envoltória e Pré-req dos Amb'!E21 * 340.8291347 + IF( 'Envoltória e Pré-req dos Amb'!E27=0,0,1) * 2184.360193 + IF( 'Envoltória e Pré-req dos Amb'!E24=0,0,1) * 2581.419875 +  'Envoltória e Pré-req dos Amb'!E25* ('Envoltória e Pré-req dos Amb'!E19 + E17) * 15.94637034 +  'Envoltória e Pré-req dos Amb'!E26* ('Envoltória e Pré-req dos Amb'!E19 + E17)*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 E17)*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E17) * -205.49867 +  'Envoltória e Pré-req dos Amb'!E24 * 375.6430961 +  'Envoltória e Pré-req dos Amb'!E27 * -67.21835767 + IF( 'Envoltória e Pré-req dos Amb'!E31=0,0,1) * -708.5751101</f>
        <v>#DIV/0!</v>
      </c>
      <c r="AZ17" s="238" t="e">
        <f>IF(AY17&lt;ESCALAS!$F$5, "A", IF(AY17&lt;ESCALAS!$F$6,"B", IF(AY17&lt;ESCALAS!$F$7, "C", IF(AY17&lt;ESCALAS!$F$8, "D", IF(AY17&gt;ESCALAS!$F$8, "E", "")))))</f>
        <v>#DIV/0!</v>
      </c>
      <c r="BA17"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 E17)* 'Envoltória e Pré-req dos Amb'!E21 * 340.8291347 + IF( 'Envoltória e Pré-req dos Amb'!E27=0,0,1) * 2184.360193 + IF( 'Envoltória e Pré-req dos Amb'!E24=0,0,1) * 2581.419875 +  'Envoltória e Pré-req dos Amb'!E25* ('Envoltória e Pré-req dos Amb'!E19 - E17) * 15.94637034 +  'Envoltória e Pré-req dos Amb'!E26* ('Envoltória e Pré-req dos Amb'!E19 - E17)*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 E17)*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E17) * -205.49867 +  'Envoltória e Pré-req dos Amb'!E24 * 375.6430961 +  'Envoltória e Pré-req dos Amb'!E27 * -67.21835767 + IF( 'Envoltória e Pré-req dos Amb'!E31=0,0,1) * -708.5751101</f>
        <v>#DIV/0!</v>
      </c>
      <c r="BB17" s="240" t="e">
        <f>IF(BA17&lt;ESCALAS!$F$5, "A", IF(BA17&lt;ESCALAS!$F$6,"B", IF(BA17&lt;ESCALAS!$F$7, "C", IF(BA17&lt;ESCALAS!$F$8, "D", IF(BA17&gt;ESCALAS!$F$8, "E", "")))))</f>
        <v>#DIV/0!</v>
      </c>
      <c r="BC17"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 E17)*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 E17)*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 E17)* 'Envoltória e Pré-req dos Amb'!E21 * 63.2489521 + ( ('Envoltória e Pré-req dos Amb'!E19 + E17)*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E17) * -279.5554246 +  'Envoltória e Pré-req dos Amb'!E26 * -540.0450775</f>
        <v>#DIV/0!</v>
      </c>
      <c r="BD17" s="238" t="e">
        <f>IF(BC17&lt;ESCALAS!$G$5, "A", IF(BC17&lt;ESCALAS!$G$6,"B", IF(BC17&lt;ESCALAS!$G$7, "C", IF(BC17&lt;ESCALAS!$G$8, "D", IF(BC17&gt;ESCALAS!$G$8, "E", "")))))</f>
        <v>#DIV/0!</v>
      </c>
      <c r="BE17"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 E17)*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 E17)*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 E17)* 'Envoltória e Pré-req dos Amb'!E21 * 63.2489521 + ( ('Envoltória e Pré-req dos Amb'!E19 - E17)*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E17) * -279.5554246 +  'Envoltória e Pré-req dos Amb'!E26 * -540.0450775</f>
        <v>#DIV/0!</v>
      </c>
      <c r="BF17" s="240" t="e">
        <f>IF(BE17&lt;ESCALAS!$G$5, "A", IF(BE17&lt;ESCALAS!$G$6,"B", IF(BE17&lt;ESCALAS!$G$7, "C", IF(BE17&lt;ESCALAS!$G$8, "D", IF(BE17&gt;ESCALAS!$G$8, "E", "")))))</f>
        <v>#DIV/0!</v>
      </c>
    </row>
    <row r="18" spans="2:58" x14ac:dyDescent="0.2">
      <c r="B18" s="342"/>
      <c r="C18" s="104" t="s">
        <v>58</v>
      </c>
      <c r="D18" s="83">
        <v>50</v>
      </c>
      <c r="E18" s="284">
        <v>50</v>
      </c>
      <c r="F18" s="295" t="e">
        <f>IF('Envoltória e Pré-req dos Amb'!$E$10="ZB1",O18,IF('Envoltória e Pré-req dos Amb'!$E$10="ZB2",W18,IF('Envoltória e Pré-req dos Amb'!$E$10="ZB3",AE18,IF('Envoltória e Pré-req dos Amb'!$E$10="ZB4",AM18,IF('Envoltória e Pré-req dos Amb'!$E$10="ZB5",AU18,IF('Envoltória e Pré-req dos Amb'!$E$10="ZB6",AY18,IF('Envoltória e Pré-req dos Amb'!$E$10="ZB7",BC18,IF('Envoltória e Pré-req dos Amb'!$E$10="ZB8",AU18,"Escolha uma ZB"))))))))</f>
        <v>#DIV/0!</v>
      </c>
      <c r="G18" s="265" t="e">
        <f>IF('Envoltória e Pré-req dos Amb'!$E$10="ZB1",P18,IF('Envoltória e Pré-req dos Amb'!$E$10="ZB2",X18,IF('Envoltória e Pré-req dos Amb'!$E$10="ZB3",AF18,IF('Envoltória e Pré-req dos Amb'!$E$10="ZB4",AN18,IF('Envoltória e Pré-req dos Amb'!$E$10="ZB5",AV18,IF('Envoltória e Pré-req dos Amb'!$E$10="ZB6",AZ18,IF('Envoltória e Pré-req dos Amb'!$E$10="ZB7",BD18,IF('Envoltória e Pré-req dos Amb'!$E$10="ZB8",AV18,"Escolha uma ZB"))))))))</f>
        <v>#DIV/0!</v>
      </c>
      <c r="H18" s="301" t="e">
        <f>IF('Envoltória e Pré-req dos Amb'!$E$10="ZB1",Q18,IF('Envoltória e Pré-req dos Amb'!$E$10="ZB2",Y18,IF('Envoltória e Pré-req dos Amb'!$E$10="ZB3",AG18,IF('Envoltória e Pré-req dos Amb'!$E$10="ZB4",AO18,IF('Envoltória e Pré-req dos Amb'!$E$10="ZB5",AW18,IF('Envoltória e Pré-req dos Amb'!$E$10="ZB6",BA18,IF('Envoltória e Pré-req dos Amb'!$E$10="ZB7",BE18,IF('Envoltória e Pré-req dos Amb'!$E$10="ZB8",AW18,"Escolha uma ZB"))))))))</f>
        <v>#DIV/0!</v>
      </c>
      <c r="I18" s="259" t="e">
        <f>IF('Envoltória e Pré-req dos Amb'!$E$10="ZB1",R18,IF('Envoltória e Pré-req dos Amb'!$E$10="ZB2",Z18,IF('Envoltória e Pré-req dos Amb'!$E$10="ZB3",AH18,IF('Envoltória e Pré-req dos Amb'!$E$10="ZB4",AP18,IF('Envoltória e Pré-req dos Amb'!$E$10="ZB5",AX18,IF('Envoltória e Pré-req dos Amb'!$E$10="ZB6",BB18,IF('Envoltória e Pré-req dos Amb'!$E$10="ZB7",BF18,IF('Envoltória e Pré-req dos Amb'!$E$10="ZB8",AX18,"Escolha uma ZB"))))))))</f>
        <v>#DIV/0!</v>
      </c>
      <c r="J18" s="308" t="e">
        <f>IF('Envoltória e Pré-req dos Amb'!$E$10="ZB1",S18,IF('Envoltória e Pré-req dos Amb'!$E$10="ZB2",AA18,IF('Envoltória e Pré-req dos Amb'!$E$10="ZB3",AI18,IF('Envoltória e Pré-req dos Amb'!$E$10="ZB4",AQ18,IF('Envoltória e Pré-req dos Amb'!$E$10="ZB5",0,IF('Envoltória e Pré-req dos Amb'!$E$10="ZB6",0,IF('Envoltória e Pré-req dos Amb'!$E$10="ZB7",0,IF('Envoltória e Pré-req dos Amb'!$E$10="ZB8",0,"Escolha uma ZB"))))))))</f>
        <v>#DIV/0!</v>
      </c>
      <c r="K18" s="265" t="e">
        <f>IF('Envoltória e Pré-req dos Amb'!$E$10="ZB1",T18,IF('Envoltória e Pré-req dos Amb'!$E$10="ZB2",AB18,IF('Envoltória e Pré-req dos Amb'!$E$10="ZB3",AJ18,IF('Envoltória e Pré-req dos Amb'!$E$10="ZB4",AR18,IF('Envoltória e Pré-req dos Amb'!$E$10="ZB5","Não se aplica",IF('Envoltória e Pré-req dos Amb'!$E$10="ZB6","Não se aplica",IF('Envoltória e Pré-req dos Amb'!$E$10="ZB7","Não se aplica",IF('Envoltória e Pré-req dos Amb'!$E$10="ZB8","Não se aplica","Escolha uma ZB"))))))))</f>
        <v>#DIV/0!</v>
      </c>
      <c r="L18" s="312" t="e">
        <f>IF('Envoltória e Pré-req dos Amb'!$E$10="ZB1",U18,IF('Envoltória e Pré-req dos Amb'!$E$10="ZB2",AC18,IF('Envoltória e Pré-req dos Amb'!$E$10="ZB3",AK18,IF('Envoltória e Pré-req dos Amb'!$E$10="ZB4",AS18,IF('Envoltória e Pré-req dos Amb'!$E$10="ZB5",0,IF('Envoltória e Pré-req dos Amb'!$E$10="ZB6",0,IF('Envoltória e Pré-req dos Amb'!$E$10="ZB7",0,IF('Envoltória e Pré-req dos Amb'!$E$10="ZB8",0,"Escolha uma ZB"))))))))</f>
        <v>#DIV/0!</v>
      </c>
      <c r="M18" s="260" t="e">
        <f>IF('Envoltória e Pré-req dos Amb'!$E$10="ZB1",V18,IF('Envoltória e Pré-req dos Amb'!$E$10="ZB2",AD18,IF('Envoltória e Pré-req dos Amb'!$E$10="ZB3",AL18,IF('Envoltória e Pré-req dos Amb'!$E$10="ZB4",AT18,IF('Envoltória e Pré-req dos Amb'!$E$10="ZB5","Não se aplica",IF('Envoltória e Pré-req dos Amb'!$E$10="ZB6","Não se aplica",IF('Envoltória e Pré-req dos Amb'!$E$10="ZB7","Não se aplica",IF('Envoltória e Pré-req dos Amb'!$E$10="ZB8","Não se aplica","Escolha uma ZB"))))))))</f>
        <v>#DIV/0!</v>
      </c>
      <c r="N18" s="230"/>
      <c r="O18"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 E18))* ('Envoltória e Pré-req dos Amb'!E24+'Envoltória e Pré-req dos Amb'!E25+'Envoltória e Pré-req dos Amb'!E26+'Envoltória e Pré-req dos Amb'!E27) * 0.263659347 + 'Envoltória e Pré-req dos Amb'!E32 * -35.93802025 + ('Envoltória e Pré-req dos Amb'!E20 + E18)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18" s="238" t="e">
        <f>IF(O18&lt;ESCALAS!$B$5, "A", IF(O18&lt;ESCALAS!$B$6,"B", IF(O18&lt;ESCALAS!$B$7, "C", IF(O18&lt;ESCALAS!$B$8, "D", IF(O18&gt;ESCALAS!$B$8, "E", "")))))</f>
        <v>#DIV/0!</v>
      </c>
      <c r="Q18"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 E18))* ('Envoltória e Pré-req dos Amb'!E24+'Envoltória e Pré-req dos Amb'!E25+'Envoltória e Pré-req dos Amb'!E26+'Envoltória e Pré-req dos Amb'!E27) * 0.263659347 + 'Envoltória e Pré-req dos Amb'!E32 * -35.93802025 + ('Envoltória e Pré-req dos Amb'!E20 - E18)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18" s="240" t="e">
        <f>IF(Q18&lt;ESCALAS!$B$5, "A", IF(Q18&lt;ESCALAS!$B$6,"B", IF(Q18&lt;ESCALAS!$B$7, "C", IF(Q18&lt;ESCALAS!$B$8, "D", IF(Q18&gt;ESCALAS!$B$8, "E", "")))))</f>
        <v>#DIV/0!</v>
      </c>
      <c r="S18" s="243" t="e">
        <f>(( 298700 + 'Envoltória e Pré-req dos Amb'!E35*'Envoltória e Pré-req dos Amb'!E12 * 621 + 'Envoltória e Pré-req dos Amb'!E15*'Envoltória e Pré-req dos Amb'!E12 * 8314 + 'Envoltória e Pré-req dos Amb'!E37 * -198260 + 'Envoltória e Pré-req dos Amb'!E34*('Envoltória e Pré-req dos Amb'!E20 + E18) * -1 + 'Envoltória e Pré-req dos Amb'!E14*'Envoltória e Pré-req dos Amb'!E12 * 5882 + ('Envoltória e Pré-req dos Amb'!E19*'Envoltória e Pré-req dos Amb'!E21/('Envoltória e Pré-req dos Amb'!E20 + E18))*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E18)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E18)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18" s="239" t="e">
        <f>IF(S18&lt;ESCALAS!$B$25, "A", IF(S18&lt;ESCALAS!$B$26,"B", IF(S18&lt;ESCALAS!$B$27, "C", IF(S18&lt;ESCALAS!$B$28, "D", IF(S18&gt;ESCALAS!$B$28, "E", "")))))</f>
        <v>#DIV/0!</v>
      </c>
      <c r="U18" s="239" t="e">
        <f>(( 298700 + 'Envoltória e Pré-req dos Amb'!E35*'Envoltória e Pré-req dos Amb'!E12 * 621 + 'Envoltória e Pré-req dos Amb'!E15*'Envoltória e Pré-req dos Amb'!E12 * 8314 + 'Envoltória e Pré-req dos Amb'!E37 * -198260 + 'Envoltória e Pré-req dos Amb'!E34*('Envoltória e Pré-req dos Amb'!E20 - E18) * -1 + 'Envoltória e Pré-req dos Amb'!E14*'Envoltória e Pré-req dos Amb'!E12 * 5882 + ('Envoltória e Pré-req dos Amb'!E19*'Envoltória e Pré-req dos Amb'!E21/('Envoltória e Pré-req dos Amb'!E20 - E18))*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E18)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E18)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18" s="271" t="e">
        <f>IF(U18&lt;ESCALAS!$B$25, "A", IF(U18&lt;ESCALAS!$B$26,"B", IF(U18&lt;ESCALAS!$B$27, "C", IF(U18&lt;ESCALAS!$B$28, "D", IF(U18&gt;ESCALAS!$B$28, "E", "")))))</f>
        <v>#DIV/0!</v>
      </c>
      <c r="W18"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 E18))*(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E18) * -0.002204483 + IF( 'Envoltória e Pré-req dos Amb'!E27=0,0,1) * 1010.646464 +  'Envoltória e Pré-req dos Amb'!E27 * -58.40278041 + IF( 'Envoltória e Pré-req dos Amb'!E31=0,0,1) * -441.3903064</f>
        <v>#DIV/0!</v>
      </c>
      <c r="X18" s="238" t="e">
        <f>IF(W18&lt;ESCALAS!$C$5, "A", IF(W18&lt;ESCALAS!$C$6,"B", IF(W18&lt;ESCALAS!$C$7, "C", IF(W18&lt;ESCALAS!$C$8, "D", IF(W18&gt;ESCALAS!$C$8, "E", "")))))</f>
        <v>#DIV/0!</v>
      </c>
      <c r="Y18"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 E18))*(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E18) * -0.002204483 + IF( 'Envoltória e Pré-req dos Amb'!E27=0,0,1) * 1010.646464 +  'Envoltória e Pré-req dos Amb'!E27 * -58.40278041 + IF( 'Envoltória e Pré-req dos Amb'!E31=0,0,1) * -441.3903064</f>
        <v>#DIV/0!</v>
      </c>
      <c r="Z18" s="240" t="e">
        <f>IF(Y18&lt;ESCALAS!$C$5, "A", IF(Y18&lt;ESCALAS!$C$6,"B", IF(Y18&lt;ESCALAS!$C$7, "C", IF(Y18&lt;ESCALAS!$C$8, "D", IF(Y18&gt;ESCALAS!$C$8, "E", "")))))</f>
        <v>#DIV/0!</v>
      </c>
      <c r="AA18"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E18) * -1 + ( 'Envoltória e Pré-req dos Amb'!E19* 'Envoltória e Pré-req dos Amb'!E21/ ('Envoltória e Pré-req dos Amb'!E20 + E18))*(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E18) * -3 +  'Envoltória e Pré-req dos Amb'!E34 * 595 +  'Envoltória e Pré-req dos Amb'!E24* 'Envoltória e Pré-req dos Amb'!E21 * -1297 +  'Envoltória e Pré-req dos Amb'!E38 * 1384 +  'Envoltória e Pré-req dos Amb'!E17 * -31 +  'Envoltória e Pré-req dos Amb'!E13 * 77336 +  ('Envoltória e Pré-req dos Amb'!E20 + E18)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18" s="239" t="e">
        <f>IF(AA18&lt;ESCALAS!$C$25, "A", IF(AA18&lt;ESCALAS!$C$26,"B", IF(AA18&lt;ESCALAS!$C$27, "C", IF(AA18&lt;ESCALAS!$C$28, "D", IF(AA18&gt;ESCALAS!$C$28, "E", "")))))</f>
        <v>#DIV/0!</v>
      </c>
      <c r="AC18"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E18) * -1 + ( 'Envoltória e Pré-req dos Amb'!E19* 'Envoltória e Pré-req dos Amb'!E21/ ('Envoltória e Pré-req dos Amb'!E20 - E18))*(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E18) * -3 +  'Envoltória e Pré-req dos Amb'!E34 * 595 +  'Envoltória e Pré-req dos Amb'!E24* 'Envoltória e Pré-req dos Amb'!E21 * -1297 +  'Envoltória e Pré-req dos Amb'!E38 * 1384 +  'Envoltória e Pré-req dos Amb'!E17 * -31 +  'Envoltória e Pré-req dos Amb'!E13 * 77336 +  ('Envoltória e Pré-req dos Amb'!E20 - E18)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18" s="271" t="e">
        <f>IF(AC18&lt;ESCALAS!$C$25, "A", IF(AC18&lt;ESCALAS!$C$26,"B", IF(AC18&lt;ESCALAS!$C$27, "C", IF(AC18&lt;ESCALAS!$C$28, "D", IF(AC18&gt;ESCALAS!$C$28, "E", "")))))</f>
        <v>#DIV/0!</v>
      </c>
      <c r="AE18"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E18)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E18)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18" s="238" t="e">
        <f>IF(AE18&lt;ESCALAS!$D$5, "A", IF(AE18&lt;ESCALAS!$D$6,"B", IF(AE18&lt;ESCALAS!$D$7, "C", IF(AE18&lt;ESCALAS!$D$8, "D", IF(AE18&gt;ESCALAS!$D$8, "E", "")))))</f>
        <v>#DIV/0!</v>
      </c>
      <c r="AG18"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E18)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E18)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18" s="240" t="e">
        <f>IF(AG18&lt;ESCALAS!$D$5, "A", IF(AG18&lt;ESCALAS!$D$6,"B", IF(AG18&lt;ESCALAS!$D$7, "C", IF(AG18&lt;ESCALAS!$D$8, "D", IF(AG18&gt;ESCALAS!$D$8, "E", "")))))</f>
        <v>#DIV/0!</v>
      </c>
      <c r="AI18" s="270" t="e">
        <f xml:space="preserve"> (6981.813636 +  ('Envoltória e Pré-req dos Amb'!E20 + E18)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E18) * -0.021871315 +  'Envoltória e Pré-req dos Amb'!E24* 'Envoltória e Pré-req dos Amb'!E21 * -75.93700503 +  'Envoltória e Pré-req dos Amb'!E25* 'Envoltória e Pré-req dos Amb'!E21 * -80.33453709 +  'Envoltória e Pré-req dos Amb'!E35/ 'Envoltória e Pré-req dos Amb'!E12 * -15281.19376)/1000</f>
        <v>#DIV/0!</v>
      </c>
      <c r="AJ18" s="239" t="e">
        <f>IF(AI18&lt;ESCALAS!$D$25, "A", IF(AI18&lt;ESCALAS!$D$26,"B", IF(AI18&lt;ESCALAS!$D$27, "C", IF(AI18&lt;ESCALAS!$D$28, "D", IF(AI18&gt;ESCALAS!$D$28, "E", "")))))</f>
        <v>#DIV/0!</v>
      </c>
      <c r="AK18" s="270" t="e">
        <f xml:space="preserve"> (6981.813636 +  ('Envoltória e Pré-req dos Amb'!E20 - E18)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E18) * -0.021871315 +  'Envoltória e Pré-req dos Amb'!E24* 'Envoltória e Pré-req dos Amb'!E21 * -75.93700503 +  'Envoltória e Pré-req dos Amb'!E25* 'Envoltória e Pré-req dos Amb'!E21 * -80.33453709 +  'Envoltória e Pré-req dos Amb'!E35/ 'Envoltória e Pré-req dos Amb'!E12 * -15281.19376)/1000</f>
        <v>#DIV/0!</v>
      </c>
      <c r="AL18" s="271" t="e">
        <f>IF(AK18&lt;ESCALAS!$D$25, "A", IF(AK18&lt;ESCALAS!$D$26,"B", IF(AK18&lt;ESCALAS!$D$27, "C", IF(AK18&lt;ESCALAS!$D$28, "D", IF(AK18&gt;ESCALAS!$D$28, "E", "")))))</f>
        <v>#DIV/0!</v>
      </c>
      <c r="AM18"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E18)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E18)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 E18))*(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18" s="238" t="e">
        <f>IF(AM18&lt;ESCALAS!$E$5, "A", IF(AM18&lt;ESCALAS!$E$6,"B", IF(AM18&lt;ESCALAS!$E$7, "C", IF(AM18&lt;ESCALAS!$E$8, "D", IF(AM18&gt;ESCALAS!$E$8, "E", "")))))</f>
        <v>#DIV/0!</v>
      </c>
      <c r="AO18"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E18)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E18)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 E18))*(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18" s="240" t="e">
        <f>IF(AO18&lt;ESCALAS!$E$5, "A", IF(AO18&lt;ESCALAS!$E$6,"B", IF(AO18&lt;ESCALAS!$E$7, "C", IF(AO18&lt;ESCALAS!$E$8, "D", IF(AO18&gt;ESCALAS!$E$8, "E", "")))))</f>
        <v>#DIV/0!</v>
      </c>
      <c r="AQ18"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E18)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R18" s="239" t="str">
        <f>IF(AQ18&lt;ESCALAS!$E$25, "A", IF(AQ18&lt;ESCALAS!$E$26,"B", IF(AQ18&lt;ESCALAS!$E$27, "C", IF(AQ18&lt;ESCALAS!$E$28, "D", IF(AQ18&gt;ESCALAS!$E$28, "E", "")))))</f>
        <v>A</v>
      </c>
      <c r="AS18"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E18)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T18" s="271" t="str">
        <f>IF(AS18&lt;ESCALAS!$E$25, "A", IF(AS18&lt;ESCALAS!$E$26,"B", IF(AS18&lt;ESCALAS!$E$27, "C", IF(AS18&lt;ESCALAS!$E$28, "D", IF(AS18&gt;ESCALAS!$E$28, "E", "")))))</f>
        <v>A</v>
      </c>
      <c r="AU18"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18" s="238" t="e">
        <f>IF(AU18&lt;ESCALAS!$H$5, "A", IF(AU18&lt;ESCALAS!$H$6,"B", IF(AU18&lt;ESCALAS!$H$7, "C", IF(AU18&lt;ESCALAS!$H$8, "D", IF(AU18&gt;ESCALAS!$H$8, "E", "")))))</f>
        <v>#DIV/0!</v>
      </c>
      <c r="AW18"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18" s="240" t="e">
        <f>IF(AW18&lt;ESCALAS!$H$5, "A", IF(AW18&lt;ESCALAS!$H$6,"B", IF(AW18&lt;ESCALAS!$H$7, "C", IF(AW18&lt;ESCALAS!$H$8, "D", IF(AW18&gt;ESCALAS!$H$8, "E", "")))))</f>
        <v>#DIV/0!</v>
      </c>
      <c r="AY18"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E18)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E18)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18" s="238" t="e">
        <f>IF(AY18&lt;ESCALAS!$F$5, "A", IF(AY18&lt;ESCALAS!$F$6,"B", IF(AY18&lt;ESCALAS!$F$7, "C", IF(AY18&lt;ESCALAS!$F$8, "D", IF(AY18&gt;ESCALAS!$F$8, "E", "")))))</f>
        <v>#DIV/0!</v>
      </c>
      <c r="BA18"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E18)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E18)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18" s="240" t="e">
        <f>IF(BA18&lt;ESCALAS!$F$5, "A", IF(BA18&lt;ESCALAS!$F$6,"B", IF(BA18&lt;ESCALAS!$F$7, "C", IF(BA18&lt;ESCALAS!$F$8, "D", IF(BA18&gt;ESCALAS!$F$8, "E", "")))))</f>
        <v>#DIV/0!</v>
      </c>
      <c r="BC18"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E18)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 E18))*(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E18) * 1.006532661 + ( 'Envoltória e Pré-req dos Amb'!E24+ 'Envoltória e Pré-req dos Amb'!E25+ 'Envoltória e Pré-req dos Amb'!E26+ 'Envoltória e Pré-req dos Amb'!E27)* ('Envoltória e Pré-req dos Amb'!E20 + E18) * -0.022638015 +  'Envoltória e Pré-req dos Amb'!E27* 'Envoltória e Pré-req dos Amb'!E19 * -279.5554246 +  'Envoltória e Pré-req dos Amb'!E26 * -540.0450775</f>
        <v>#DIV/0!</v>
      </c>
      <c r="BD18" s="238" t="e">
        <f>IF(BC18&lt;ESCALAS!$G$5, "A", IF(BC18&lt;ESCALAS!$G$6,"B", IF(BC18&lt;ESCALAS!$G$7, "C", IF(BC18&lt;ESCALAS!$G$8, "D", IF(BC18&gt;ESCALAS!$G$8, "E", "")))))</f>
        <v>#DIV/0!</v>
      </c>
      <c r="BE18"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E18)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 E18))*(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E18) * 1.006532661 + ( 'Envoltória e Pré-req dos Amb'!E24+ 'Envoltória e Pré-req dos Amb'!E25+ 'Envoltória e Pré-req dos Amb'!E26+ 'Envoltória e Pré-req dos Amb'!E27)* ('Envoltória e Pré-req dos Amb'!E20 - E18) * -0.022638015 +  'Envoltória e Pré-req dos Amb'!E27* 'Envoltória e Pré-req dos Amb'!E19 * -279.5554246 +  'Envoltória e Pré-req dos Amb'!E26 * -540.0450775</f>
        <v>#DIV/0!</v>
      </c>
      <c r="BF18" s="240" t="e">
        <f>IF(BE18&lt;ESCALAS!$G$5, "A", IF(BE18&lt;ESCALAS!$G$6,"B", IF(BE18&lt;ESCALAS!$G$7, "C", IF(BE18&lt;ESCALAS!$G$8, "D", IF(BE18&gt;ESCALAS!$G$8, "E", "")))))</f>
        <v>#DIV/0!</v>
      </c>
    </row>
    <row r="19" spans="2:58" ht="13.5" thickBot="1" x14ac:dyDescent="0.25">
      <c r="B19" s="343"/>
      <c r="C19" s="102" t="s">
        <v>47</v>
      </c>
      <c r="D19" s="84">
        <v>0.1</v>
      </c>
      <c r="E19" s="285">
        <v>0.1</v>
      </c>
      <c r="F19" s="296" t="e">
        <f>IF('Envoltória e Pré-req dos Amb'!$E$10="ZB1",O19,IF('Envoltória e Pré-req dos Amb'!$E$10="ZB2",W19,IF('Envoltória e Pré-req dos Amb'!$E$10="ZB3",AE19,IF('Envoltória e Pré-req dos Amb'!$E$10="ZB4",AM19,IF('Envoltória e Pré-req dos Amb'!$E$10="ZB5",AU19,IF('Envoltória e Pré-req dos Amb'!$E$10="ZB6",AY19,IF('Envoltória e Pré-req dos Amb'!$E$10="ZB7",BC19,IF('Envoltória e Pré-req dos Amb'!$E$10="ZB8",AU19,"Escolha uma ZB"))))))))</f>
        <v>#DIV/0!</v>
      </c>
      <c r="G19" s="266" t="e">
        <f>IF('Envoltória e Pré-req dos Amb'!$E$10="ZB1",P19,IF('Envoltória e Pré-req dos Amb'!$E$10="ZB2",X19,IF('Envoltória e Pré-req dos Amb'!$E$10="ZB3",AF19,IF('Envoltória e Pré-req dos Amb'!$E$10="ZB4",AN19,IF('Envoltória e Pré-req dos Amb'!$E$10="ZB5",AV19,IF('Envoltória e Pré-req dos Amb'!$E$10="ZB6",AZ19,IF('Envoltória e Pré-req dos Amb'!$E$10="ZB7",BD19,IF('Envoltória e Pré-req dos Amb'!$E$10="ZB8",AV19,"Escolha uma ZB"))))))))</f>
        <v>#DIV/0!</v>
      </c>
      <c r="H19" s="302" t="e">
        <f>IF('Envoltória e Pré-req dos Amb'!$E$10="ZB1",Q19,IF('Envoltória e Pré-req dos Amb'!$E$10="ZB2",Y19,IF('Envoltória e Pré-req dos Amb'!$E$10="ZB3",AG19,IF('Envoltória e Pré-req dos Amb'!$E$10="ZB4",AO19,IF('Envoltória e Pré-req dos Amb'!$E$10="ZB5",AW19,IF('Envoltória e Pré-req dos Amb'!$E$10="ZB6",BA19,IF('Envoltória e Pré-req dos Amb'!$E$10="ZB7",BE19,IF('Envoltória e Pré-req dos Amb'!$E$10="ZB8",AW19,"Escolha uma ZB"))))))))</f>
        <v>#DIV/0!</v>
      </c>
      <c r="I19" s="261" t="e">
        <f>IF('Envoltória e Pré-req dos Amb'!$E$10="ZB1",R19,IF('Envoltória e Pré-req dos Amb'!$E$10="ZB2",Z19,IF('Envoltória e Pré-req dos Amb'!$E$10="ZB3",AH19,IF('Envoltória e Pré-req dos Amb'!$E$10="ZB4",AP19,IF('Envoltória e Pré-req dos Amb'!$E$10="ZB5",AX19,IF('Envoltória e Pré-req dos Amb'!$E$10="ZB6",BB19,IF('Envoltória e Pré-req dos Amb'!$E$10="ZB7",BF19,IF('Envoltória e Pré-req dos Amb'!$E$10="ZB8",AX19,"Escolha uma ZB"))))))))</f>
        <v>#DIV/0!</v>
      </c>
      <c r="J19" s="309" t="e">
        <f>IF('Envoltória e Pré-req dos Amb'!$E$10="ZB1",S19,IF('Envoltória e Pré-req dos Amb'!$E$10="ZB2",AA19,IF('Envoltória e Pré-req dos Amb'!$E$10="ZB3",AI19,IF('Envoltória e Pré-req dos Amb'!$E$10="ZB4",AQ19,IF('Envoltória e Pré-req dos Amb'!$E$10="ZB5",0,IF('Envoltória e Pré-req dos Amb'!$E$10="ZB6",0,IF('Envoltória e Pré-req dos Amb'!$E$10="ZB7",0,IF('Envoltória e Pré-req dos Amb'!$E$10="ZB8",0,"Escolha uma ZB"))))))))</f>
        <v>#DIV/0!</v>
      </c>
      <c r="K19" s="266" t="e">
        <f>IF('Envoltória e Pré-req dos Amb'!$E$10="ZB1",T19,IF('Envoltória e Pré-req dos Amb'!$E$10="ZB2",AB19,IF('Envoltória e Pré-req dos Amb'!$E$10="ZB3",AJ19,IF('Envoltória e Pré-req dos Amb'!$E$10="ZB4",AR19,IF('Envoltória e Pré-req dos Amb'!$E$10="ZB5","Não se aplica",IF('Envoltória e Pré-req dos Amb'!$E$10="ZB6","Não se aplica",IF('Envoltória e Pré-req dos Amb'!$E$10="ZB7","Não se aplica",IF('Envoltória e Pré-req dos Amb'!$E$10="ZB8","Não se aplica","Escolha uma ZB"))))))))</f>
        <v>#DIV/0!</v>
      </c>
      <c r="L19" s="313" t="e">
        <f>IF('Envoltória e Pré-req dos Amb'!$E$10="ZB1",U19,IF('Envoltória e Pré-req dos Amb'!$E$10="ZB2",AC19,IF('Envoltória e Pré-req dos Amb'!$E$10="ZB3",AK19,IF('Envoltória e Pré-req dos Amb'!$E$10="ZB4",AS19,IF('Envoltória e Pré-req dos Amb'!$E$10="ZB5",0,IF('Envoltória e Pré-req dos Amb'!$E$10="ZB6",0,IF('Envoltória e Pré-req dos Amb'!$E$10="ZB7",0,IF('Envoltória e Pré-req dos Amb'!$E$10="ZB8",0,"Escolha uma ZB"))))))))</f>
        <v>#DIV/0!</v>
      </c>
      <c r="M19" s="262" t="e">
        <f>IF('Envoltória e Pré-req dos Amb'!$E$10="ZB1",V19,IF('Envoltória e Pré-req dos Amb'!$E$10="ZB2",AD19,IF('Envoltória e Pré-req dos Amb'!$E$10="ZB3",AL19,IF('Envoltória e Pré-req dos Amb'!$E$10="ZB4",AT19,IF('Envoltória e Pré-req dos Amb'!$E$10="ZB5","Não se aplica",IF('Envoltória e Pré-req dos Amb'!$E$10="ZB6","Não se aplica",IF('Envoltória e Pré-req dos Amb'!$E$10="ZB7","Não se aplica",IF('Envoltória e Pré-req dos Amb'!$E$10="ZB8","Não se aplica","Escolha uma ZB"))))))))</f>
        <v>#DIV/0!</v>
      </c>
      <c r="N19" s="230"/>
      <c r="O19"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 + E19)/'Envoltória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E19) * -0.156864029 + 'Envoltória e Pré-req dos Amb'!E26*'Envoltória e Pré-req dos Amb'!E19*('Envoltória e Pré-req dos Amb'!E21 + E19)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E19) * 0.473241363 + ('Envoltória e Pré-req dos Amb'!E21 + E19)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E19) * 1.774450991 + 'Envoltória e Pré-req dos Amb'!E27*'Envoltória e Pré-req dos Amb'!E19 * -0.767798836 + IF('Envoltória e Pré-req dos Amb'!E24=0,0,1) * 22.10773117 + IF('Envoltória e Pré-req dos Amb'!E28=0,0,1) * -15.78410342</f>
        <v>#DIV/0!</v>
      </c>
      <c r="P19" s="238" t="e">
        <f>IF(O19&lt;ESCALAS!$B$5, "A", IF(O19&lt;ESCALAS!$B$6,"B", IF(O19&lt;ESCALAS!$B$7, "C", IF(O19&lt;ESCALAS!$B$8, "D", IF(O19&gt;ESCALAS!$B$8, "E", "")))))</f>
        <v>#DIV/0!</v>
      </c>
      <c r="Q19"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Amb'!E21 - E19)/'Envoltória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E19) * -0.156864029 + 'Envoltória e Pré-req dos Amb'!E26*'Envoltória e Pré-req dos Amb'!E19*('Envoltória e Pré-req dos Amb'!E21 - E19)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E19) * 0.473241363 + ('Envoltória e Pré-req dos Amb'!E21 - E19)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E19) * 1.774450991 + 'Envoltória e Pré-req dos Amb'!E27*'Envoltória e Pré-req dos Amb'!E19 * -0.767798836 + IF('Envoltória e Pré-req dos Amb'!E24=0,0,1) * 22.10773117 + IF('Envoltória e Pré-req dos Amb'!E28=0,0,1) * -15.78410342</f>
        <v>#DIV/0!</v>
      </c>
      <c r="R19" s="240" t="e">
        <f>IF(Q19&lt;ESCALAS!$B$5, "A", IF(Q19&lt;ESCALAS!$B$6,"B", IF(Q19&lt;ESCALAS!$B$7, "C", IF(Q19&lt;ESCALAS!$B$8, "D", IF(Q19&gt;ESCALAS!$B$8, "E", "")))))</f>
        <v>#DIV/0!</v>
      </c>
      <c r="S19"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 + E19)/'Envoltória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E19)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E19) * -1890 + 'Envoltória e Pré-req dos Amb'!E35 * -75955 + 'Envoltória e Pré-req dos Amb'!E33 * 26363 + 'Envoltória e Pré-req dos Amb'!E25*('Envoltória e Pré-req dos Amb'!E21 + E19)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E19) * -9947 + 'Envoltória e Pré-req dos Amb'!E26*('Envoltória e Pré-req dos Amb'!E21 + E19)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E19) * -3226 + 'Envoltória e Pré-req dos Amb'!E25*'Envoltória e Pré-req dos Amb'!E19*('Envoltória e Pré-req dos Amb'!E21 + E19)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19" s="239" t="e">
        <f>IF(S19&lt;ESCALAS!$B$25, "A", IF(S19&lt;ESCALAS!$B$26,"B", IF(S19&lt;ESCALAS!$B$27, "C", IF(S19&lt;ESCALAS!$B$28, "D", IF(S19&gt;ESCALAS!$B$28, "E", "")))))</f>
        <v>#DIV/0!</v>
      </c>
      <c r="U19"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Amb'!E21 - E19)/'Envoltória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E19)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E19) * -1890 + 'Envoltória e Pré-req dos Amb'!E35 * -75955 + 'Envoltória e Pré-req dos Amb'!E33 * 26363 + 'Envoltória e Pré-req dos Amb'!E25*('Envoltória e Pré-req dos Amb'!E21 - E19)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E19) * -9947 + 'Envoltória e Pré-req dos Amb'!E26*('Envoltória e Pré-req dos Amb'!E21 - E19)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E19) * -3226 + 'Envoltória e Pré-req dos Amb'!E25*'Envoltória e Pré-req dos Amb'!E19*('Envoltória e Pré-req dos Amb'!E21 - E19)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19" s="271" t="e">
        <f>IF(U19&lt;ESCALAS!$B$25, "A", IF(U19&lt;ESCALAS!$B$26,"B", IF(U19&lt;ESCALAS!$B$27, "C", IF(U19&lt;ESCALAS!$B$28, "D", IF(U19&gt;ESCALAS!$B$28, "E", "")))))</f>
        <v>#DIV/0!</v>
      </c>
      <c r="W19"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E19)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E19) * 44.09628267 +  'Envoltória e Pré-req dos Amb'!E24* 'Envoltória e Pré-req dos Amb'!E19* ('Envoltória e Pré-req dos Amb'!E21 + E19) * 108.600273 +  'Envoltória e Pré-req dos Amb'!E15 * -314.5094487 +  'Envoltória e Pré-req dos Amb'!E30*IMABS( 'Envoltória e Pré-req dos Amb'!E33-1) * 84.73378113 +  'Envoltória e Pré-req dos Amb'!E27* 'Envoltória e Pré-req dos Amb'!E19* ('Envoltória e Pré-req dos Amb'!E21 + E19) * 36.28553911 + ( 'Envoltória e Pré-req dos Amb'!E19* ('Envoltória e Pré-req dos Amb'!E21 + E19)/ 'Envoltória e Pré-req dos Amb'!E20)*( 'Envoltória e Pré-req dos Amb'!E24+ 'Envoltória e Pré-req dos Amb'!E25+ 'Envoltória e Pré-req dos Amb'!E26+ 'Envoltória e Pré-req dos Amb'!E27) * -4.07760881 +  'Envoltória e Pré-req dos Amb'!E25* 'Envoltória e Pré-req dos Amb'!E19* ('Envoltória e Pré-req dos Amb'!E21 + E19)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E19)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19" s="238" t="e">
        <f>IF(W19&lt;ESCALAS!$C$5, "A", IF(W19&lt;ESCALAS!$C$6,"B", IF(W19&lt;ESCALAS!$C$7, "C", IF(W19&lt;ESCALAS!$C$8, "D", IF(W19&gt;ESCALAS!$C$8, "E", "")))))</f>
        <v>#DIV/0!</v>
      </c>
      <c r="Y19"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E19)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E19) * 44.09628267 +  'Envoltória e Pré-req dos Amb'!E24* 'Envoltória e Pré-req dos Amb'!E19* ('Envoltória e Pré-req dos Amb'!E21 - E19) * 108.600273 +  'Envoltória e Pré-req dos Amb'!E15 * -314.5094487 +  'Envoltória e Pré-req dos Amb'!E30*IMABS( 'Envoltória e Pré-req dos Amb'!E33-1) * 84.73378113 +  'Envoltória e Pré-req dos Amb'!E27* 'Envoltória e Pré-req dos Amb'!E19* ('Envoltória e Pré-req dos Amb'!E21 - E19) * 36.28553911 + ( 'Envoltória e Pré-req dos Amb'!E19* ('Envoltória e Pré-req dos Amb'!E21 - E19)/ 'Envoltória e Pré-req dos Amb'!E20)*( 'Envoltória e Pré-req dos Amb'!E24+ 'Envoltória e Pré-req dos Amb'!E25+ 'Envoltória e Pré-req dos Amb'!E26+ 'Envoltória e Pré-req dos Amb'!E27) * -4.07760881 +  'Envoltória e Pré-req dos Amb'!E25* 'Envoltória e Pré-req dos Amb'!E19* ('Envoltória e Pré-req dos Amb'!E21 - E19)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E19)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19" s="240" t="e">
        <f>IF(Y19&lt;ESCALAS!$C$5, "A", IF(Y19&lt;ESCALAS!$C$6,"B", IF(Y19&lt;ESCALAS!$C$7, "C", IF(Y19&lt;ESCALAS!$C$8, "D", IF(Y19&gt;ESCALAS!$C$8, "E", "")))))</f>
        <v>#DIV/0!</v>
      </c>
      <c r="AA19"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 E19)/ 'Envoltória e Pré-req dos Amb'!E20)*( 'Envoltória e Pré-req dos Amb'!E24+ 'Envoltória e Pré-req dos Amb'!E25+ 'Envoltória e Pré-req dos Amb'!E26+ 'Envoltória e Pré-req dos Amb'!E27) * 550 +  ('Envoltória e Pré-req dos Amb'!E21 + E19)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E19) * -1297 +  'Envoltória e Pré-req dos Amb'!E38 * 1384 +  'Envoltória e Pré-req dos Amb'!E17 * -31 +  'Envoltória e Pré-req dos Amb'!E13 * 77336 +  'Envoltória e Pré-req dos Amb'!E20 * 59 +  'Envoltória e Pré-req dos Amb'!E18 * -63183 +  'Envoltória e Pré-req dos Amb'!E25* ('Envoltória e Pré-req dos Amb'!E21 + E19)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E19) * -1764 +  'Envoltória e Pré-req dos Amb'!E30* 'Envoltória e Pré-req dos Amb'!E32 * -7382 +  'Envoltória e Pré-req dos Amb'!E24* 'Envoltória e Pré-req dos Amb'!E19* ('Envoltória e Pré-req dos Amb'!E21 + E19) * -2165 +  'Envoltória e Pré-req dos Amb'!E24 * -4623 +  'Envoltória e Pré-req dos Amb'!E23 * -7637 +  'Envoltória e Pré-req dos Amb'!E31 * -2622 +  'Envoltória e Pré-req dos Amb'!E26* ('Envoltória e Pré-req dos Amb'!E21 + E19) * -3796 +  'Envoltória e Pré-req dos Amb'!E27* ('Envoltória e Pré-req dos Amb'!E21 + E19) * -3773 +  'Envoltória e Pré-req dos Amb'!E29* 'Envoltória e Pré-req dos Amb'!E33 * -7024 +  'Envoltória e Pré-req dos Amb'!E29*IMABS( 'Envoltória e Pré-req dos Amb'!E33-1) * -3591)/1000)/ 'Envoltória e Pré-req dos Amb'!E12</f>
        <v>#DIV/0!</v>
      </c>
      <c r="AB19" s="239" t="e">
        <f>IF(AA19&lt;ESCALAS!$C$25, "A", IF(AA19&lt;ESCALAS!$C$26,"B", IF(AA19&lt;ESCALAS!$C$27, "C", IF(AA19&lt;ESCALAS!$C$28, "D", IF(AA19&gt;ESCALAS!$C$28, "E", "")))))</f>
        <v>#DIV/0!</v>
      </c>
      <c r="AC19"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 E19)/ 'Envoltória e Pré-req dos Amb'!E20)*( 'Envoltória e Pré-req dos Amb'!E24+ 'Envoltória e Pré-req dos Amb'!E25+ 'Envoltória e Pré-req dos Amb'!E26+ 'Envoltória e Pré-req dos Amb'!E27) * 550 +  ('Envoltória e Pré-req dos Amb'!E21 - E19)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E19) * -1297 +  'Envoltória e Pré-req dos Amb'!E38 * 1384 +  'Envoltória e Pré-req dos Amb'!E17 * -31 +  'Envoltória e Pré-req dos Amb'!E13 * 77336 +  'Envoltória e Pré-req dos Amb'!E20 * 59 +  'Envoltória e Pré-req dos Amb'!E18 * -63183 +  'Envoltória e Pré-req dos Amb'!E25* ('Envoltória e Pré-req dos Amb'!E21 - E19)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E19) * -1764 +  'Envoltória e Pré-req dos Amb'!E30* 'Envoltória e Pré-req dos Amb'!E32 * -7382 +  'Envoltória e Pré-req dos Amb'!E24* 'Envoltória e Pré-req dos Amb'!E19* ('Envoltória e Pré-req dos Amb'!E21 - E19) * -2165 +  'Envoltória e Pré-req dos Amb'!E24 * -4623 +  'Envoltória e Pré-req dos Amb'!E23 * -7637 +  'Envoltória e Pré-req dos Amb'!E31 * -2622 +  'Envoltória e Pré-req dos Amb'!E26* ('Envoltória e Pré-req dos Amb'!E21 - E19) * -3796 +  'Envoltória e Pré-req dos Amb'!E27* ('Envoltória e Pré-req dos Amb'!E21 - E19) * -3773 +  'Envoltória e Pré-req dos Amb'!E29* 'Envoltória e Pré-req dos Amb'!E33 * -7024 +  'Envoltória e Pré-req dos Amb'!E29*IMABS( 'Envoltória e Pré-req dos Amb'!E33-1) * -3591)/1000)/ 'Envoltória e Pré-req dos Amb'!E12</f>
        <v>#DIV/0!</v>
      </c>
      <c r="AD19" s="271" t="e">
        <f>IF(AC19&lt;ESCALAS!$C$25, "A", IF(AC19&lt;ESCALAS!$C$26,"B", IF(AC19&lt;ESCALAS!$C$27, "C", IF(AC19&lt;ESCALAS!$C$28, "D", IF(AC19&gt;ESCALAS!$C$28, "E", "")))))</f>
        <v>#DIV/0!</v>
      </c>
      <c r="AE19"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E19)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E19)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E19)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E19)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E19) * 15.3350994 +  'Envoltória e Pré-req dos Amb'!E25 * 26.09247753 +  'Envoltória e Pré-req dos Amb'!E28*IMABS( 'Envoltória e Pré-req dos Amb'!E33-1) * -34.77773789</f>
        <v>#DIV/0!</v>
      </c>
      <c r="AF19" s="238" t="e">
        <f>IF(AE19&lt;ESCALAS!$D$5, "A", IF(AE19&lt;ESCALAS!$D$6,"B", IF(AE19&lt;ESCALAS!$D$7, "C", IF(AE19&lt;ESCALAS!$D$8, "D", IF(AE19&gt;ESCALAS!$D$8, "E", "")))))</f>
        <v>#DIV/0!</v>
      </c>
      <c r="AG19"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E19)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E19)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E19)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E19)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E19) * 15.3350994 +  'Envoltória e Pré-req dos Amb'!E25 * 26.09247753 +  'Envoltória e Pré-req dos Amb'!E28*IMABS( 'Envoltória e Pré-req dos Amb'!E33-1) * -34.77773789</f>
        <v>#DIV/0!</v>
      </c>
      <c r="AH19" s="240" t="e">
        <f>IF(AG19&lt;ESCALAS!$D$5, "A", IF(AG19&lt;ESCALAS!$D$6,"B", IF(AG19&lt;ESCALAS!$D$7, "C", IF(AG19&lt;ESCALAS!$D$8, "D", IF(AG19&gt;ESCALAS!$D$8, "E", "")))))</f>
        <v>#DIV/0!</v>
      </c>
      <c r="AI19"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E19)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E19) * -75.93700503 +  'Envoltória e Pré-req dos Amb'!E25* ('Envoltória e Pré-req dos Amb'!E21 + E19) * -80.33453709 +  'Envoltória e Pré-req dos Amb'!E35/ 'Envoltória e Pré-req dos Amb'!E12 * -15281.19376)/1000</f>
        <v>#DIV/0!</v>
      </c>
      <c r="AJ19" s="239" t="e">
        <f>IF(AI19&lt;ESCALAS!$D$25, "A", IF(AI19&lt;ESCALAS!$D$26,"B", IF(AI19&lt;ESCALAS!$D$27, "C", IF(AI19&lt;ESCALAS!$D$28, "D", IF(AI19&gt;ESCALAS!$D$28, "E", "")))))</f>
        <v>#DIV/0!</v>
      </c>
      <c r="AK19"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E19)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E19) * -75.93700503 +  'Envoltória e Pré-req dos Amb'!E25* ('Envoltória e Pré-req dos Amb'!E21 - E19) * -80.33453709 +  'Envoltória e Pré-req dos Amb'!E35/ 'Envoltória e Pré-req dos Amb'!E12 * -15281.19376)/1000</f>
        <v>#DIV/0!</v>
      </c>
      <c r="AL19" s="271" t="e">
        <f>IF(AK19&lt;ESCALAS!$D$25, "A", IF(AK19&lt;ESCALAS!$D$26,"B", IF(AK19&lt;ESCALAS!$D$27, "C", IF(AK19&lt;ESCALAS!$D$28, "D", IF(AK19&gt;ESCALAS!$D$28, "E", "")))))</f>
        <v>#DIV/0!</v>
      </c>
      <c r="AM19"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E19)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E19)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 E19)/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E19) * 8.355821307 +  'Envoltória e Pré-req dos Amb'!E30*IMABS( 'Envoltória e Pré-req dos Amb'!E33-1) * -13.36922974</f>
        <v>#DIV/0!</v>
      </c>
      <c r="AN19" s="238" t="e">
        <f>IF(AM19&lt;ESCALAS!$E$5, "A", IF(AM19&lt;ESCALAS!$E$6,"B", IF(AM19&lt;ESCALAS!$E$7, "C", IF(AM19&lt;ESCALAS!$E$8, "D", IF(AM19&gt;ESCALAS!$E$8, "E", "")))))</f>
        <v>#DIV/0!</v>
      </c>
      <c r="AO19"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E19)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E19)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 E19)/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E19) * 8.355821307 +  'Envoltória e Pré-req dos Amb'!E30*IMABS( 'Envoltória e Pré-req dos Amb'!E33-1) * -13.36922974</f>
        <v>#DIV/0!</v>
      </c>
      <c r="AP19" s="240" t="e">
        <f>IF(AO19&lt;ESCALAS!$E$5, "A", IF(AO19&lt;ESCALAS!$E$6,"B", IF(AO19&lt;ESCALAS!$E$7, "C", IF(AO19&lt;ESCALAS!$E$8, "D", IF(AO19&gt;ESCALAS!$E$8, "E", "")))))</f>
        <v>#DIV/0!</v>
      </c>
      <c r="AQ19"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E19)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E19) * -34.36252394 + 'Envoltória e Pré-req dos Amb'!E35 * 1636.10823 + 'Envoltória e Pré-req dos Amb'!E25* 'Envoltória e Pré-req dos Amb'!E19* ('Envoltória e Pré-req dos Amb'!E21 + E19) * -29.78486643 + 'Envoltória e Pré-req dos Amb'!E35* 'Envoltória e Pré-req dos Amb'!E12 * -104.071993)/1000</f>
        <v>-0.60028021869999992</v>
      </c>
      <c r="AR19" s="239" t="str">
        <f>IF(AQ19&lt;ESCALAS!$E$25, "A", IF(AQ19&lt;ESCALAS!$E$26,"B", IF(AQ19&lt;ESCALAS!$E$27, "C", IF(AQ19&lt;ESCALAS!$E$28, "D", IF(AQ19&gt;ESCALAS!$E$28, "E", "")))))</f>
        <v>A</v>
      </c>
      <c r="AS19"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E19)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E19) * -34.36252394 + 'Envoltória e Pré-req dos Amb'!E35 * 1636.10823 + 'Envoltória e Pré-req dos Amb'!E25* 'Envoltória e Pré-req dos Amb'!E19* ('Envoltória e Pré-req dos Amb'!E21 - E19) * -29.78486643 + 'Envoltória e Pré-req dos Amb'!E35* 'Envoltória e Pré-req dos Amb'!E12 * -104.071993)/1000</f>
        <v>-0.16806284609999997</v>
      </c>
      <c r="AT19" s="271" t="str">
        <f>IF(AS19&lt;ESCALAS!$E$25, "A", IF(AS19&lt;ESCALAS!$E$26,"B", IF(AS19&lt;ESCALAS!$E$27, "C", IF(AS19&lt;ESCALAS!$E$28, "D", IF(AS19&gt;ESCALAS!$E$28, "E", "")))))</f>
        <v>A</v>
      </c>
      <c r="AU19" s="270" t="e">
        <f xml:space="preserve"> 4957.705139 +  'Envoltória e Pré-req dos Amb'!E33 * -4358.312039 + ( 'Envoltória e Pré-req dos Amb'!E18*(IF( 'Envoltória e Pré-req dos Amb'!E13=0,0,1))) * 3875.502256 +  ('Envoltória e Pré-req dos Amb'!E21 + E19)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E19)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E19)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E19)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E19)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19" s="238" t="e">
        <f>IF(AU19&lt;ESCALAS!$H$5, "A", IF(AU19&lt;ESCALAS!$H$6,"B", IF(AU19&lt;ESCALAS!$H$7, "C", IF(AU19&lt;ESCALAS!$H$8, "D", IF(AU19&gt;ESCALAS!$H$8, "E", "")))))</f>
        <v>#DIV/0!</v>
      </c>
      <c r="AW19" s="270" t="e">
        <f xml:space="preserve"> 4957.705139 +  'Envoltória e Pré-req dos Amb'!E33 * -4358.312039 + ( 'Envoltória e Pré-req dos Amb'!E18*(IF( 'Envoltória e Pré-req dos Amb'!E13=0,0,1))) * 3875.502256 +  ('Envoltória e Pré-req dos Amb'!E21 - E19)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E19)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E19)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E19)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E19)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19" s="240" t="e">
        <f>IF(AW19&lt;ESCALAS!$H$5, "A", IF(AW19&lt;ESCALAS!$H$6,"B", IF(AW19&lt;ESCALAS!$H$7, "C", IF(AW19&lt;ESCALAS!$H$8, "D", IF(AW19&gt;ESCALAS!$H$8, "E", "")))))</f>
        <v>#DIV/0!</v>
      </c>
      <c r="AY19"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E19)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E19)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E19)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E19)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E19) * -636.1283936 +  'Envoltória e Pré-req dos Amb'!E24* 'Envoltória e Pré-req dos Amb'!E19 * -205.49867 +  'Envoltória e Pré-req dos Amb'!E24 * 375.6430961 +  'Envoltória e Pré-req dos Amb'!E27 * -67.21835767 + IF( 'Envoltória e Pré-req dos Amb'!E31=0,0,1) * -708.5751101</f>
        <v>#DIV/0!</v>
      </c>
      <c r="AZ19" s="238" t="e">
        <f>IF(AY19&lt;ESCALAS!$F$5, "A", IF(AY19&lt;ESCALAS!$F$6,"B", IF(AY19&lt;ESCALAS!$F$7, "C", IF(AY19&lt;ESCALAS!$F$8, "D", IF(AY19&gt;ESCALAS!$F$8, "E", "")))))</f>
        <v>#DIV/0!</v>
      </c>
      <c r="BA19"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E19)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E19)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E19)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E19)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E19) * -636.1283936 +  'Envoltória e Pré-req dos Amb'!E24* 'Envoltória e Pré-req dos Amb'!E19 * -205.49867 +  'Envoltória e Pré-req dos Amb'!E24 * 375.6430961 +  'Envoltória e Pré-req dos Amb'!E27 * -67.21835767 + IF( 'Envoltória e Pré-req dos Amb'!E31=0,0,1) * -708.5751101</f>
        <v>#DIV/0!</v>
      </c>
      <c r="BB19" s="240" t="e">
        <f>IF(BA19&lt;ESCALAS!$F$5, "A", IF(BA19&lt;ESCALAS!$F$6,"B", IF(BA19&lt;ESCALAS!$F$7, "C", IF(BA19&lt;ESCALAS!$F$8, "D", IF(BA19&gt;ESCALAS!$F$8, "E", "")))))</f>
        <v>#DIV/0!</v>
      </c>
      <c r="BC19" s="270" t="e">
        <f xml:space="preserve"> 16195.93769 +  'Envoltória e Pré-req dos Amb'!E33 * -6292.188506 + ( 'Envoltória e Pré-req dos Amb'!E18*(IF( 'Envoltória e Pré-req dos Amb'!E13=0,0,1))) * 5145.008686 +  'Envoltória e Pré-req dos Amb'!E22 * 3727.913793 +  ('Envoltória e Pré-req dos Amb'!E21 + E19)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E19)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E19)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E19) * 63.2489521 + ( 'Envoltória e Pré-req dos Amb'!E19* ('Envoltória e Pré-req dos Amb'!E21 + E19)/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E19)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19" s="238" t="e">
        <f>IF(BC19&lt;ESCALAS!$G$5, "A", IF(BC19&lt;ESCALAS!$G$6,"B", IF(BC19&lt;ESCALAS!$G$7, "C", IF(BC19&lt;ESCALAS!$G$8, "D", IF(BC19&gt;ESCALAS!$G$8, "E", "")))))</f>
        <v>#DIV/0!</v>
      </c>
      <c r="BE19" s="270" t="e">
        <f xml:space="preserve"> 16195.93769 +  'Envoltória e Pré-req dos Amb'!E33 * -6292.188506 + ( 'Envoltória e Pré-req dos Amb'!E18*(IF( 'Envoltória e Pré-req dos Amb'!E13=0,0,1))) * 5145.008686 +  'Envoltória e Pré-req dos Amb'!E22 * 3727.913793 +  ('Envoltória e Pré-req dos Amb'!E21 - E19)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E19)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E19)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E19) * 63.2489521 + ( 'Envoltória e Pré-req dos Amb'!E19* ('Envoltória e Pré-req dos Amb'!E21 - E19)/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E19)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19" s="240" t="e">
        <f>IF(BE19&lt;ESCALAS!$G$5, "A", IF(BE19&lt;ESCALAS!$G$6,"B", IF(BE19&lt;ESCALAS!$G$7, "C", IF(BE19&lt;ESCALAS!$G$8, "D", IF(BE19&gt;ESCALAS!$G$8, "E", "")))))</f>
        <v>#DIV/0!</v>
      </c>
    </row>
    <row r="20" spans="2:58" x14ac:dyDescent="0.2">
      <c r="B20" s="399" t="s">
        <v>53</v>
      </c>
      <c r="C20" s="103" t="s">
        <v>226</v>
      </c>
      <c r="D20" s="85">
        <v>2</v>
      </c>
      <c r="E20" s="283">
        <v>2</v>
      </c>
      <c r="F20" s="294" t="e">
        <f>IF('Envoltória e Pré-req dos Amb'!$E$10="ZB1",O20,IF('Envoltória e Pré-req dos Amb'!$E$10="ZB2",W20,IF('Envoltória e Pré-req dos Amb'!$E$10="ZB3",AE20,IF('Envoltória e Pré-req dos Amb'!$E$10="ZB4",AM20,IF('Envoltória e Pré-req dos Amb'!$E$10="ZB5",AU20,IF('Envoltória e Pré-req dos Amb'!$E$10="ZB6",AY20,IF('Envoltória e Pré-req dos Amb'!$E$10="ZB7",BC20,IF('Envoltória e Pré-req dos Amb'!$E$10="ZB8",AU20,"Escolha uma ZB"))))))))</f>
        <v>#DIV/0!</v>
      </c>
      <c r="G20" s="264" t="e">
        <f>IF('Envoltória e Pré-req dos Amb'!$E$10="ZB1",P20,IF('Envoltória e Pré-req dos Amb'!$E$10="ZB2",X20,IF('Envoltória e Pré-req dos Amb'!$E$10="ZB3",AF20,IF('Envoltória e Pré-req dos Amb'!$E$10="ZB4",AN20,IF('Envoltória e Pré-req dos Amb'!$E$10="ZB5",AV20,IF('Envoltória e Pré-req dos Amb'!$E$10="ZB6",AZ20,IF('Envoltória e Pré-req dos Amb'!$E$10="ZB7",BD20,IF('Envoltória e Pré-req dos Amb'!$E$10="ZB8",AV20,"Escolha uma ZB"))))))))</f>
        <v>#DIV/0!</v>
      </c>
      <c r="H20" s="300" t="e">
        <f>IF('Envoltória e Pré-req dos Amb'!$E$10="ZB1",Q20,IF('Envoltória e Pré-req dos Amb'!$E$10="ZB2",Y20,IF('Envoltória e Pré-req dos Amb'!$E$10="ZB3",AG20,IF('Envoltória e Pré-req dos Amb'!$E$10="ZB4",AO20,IF('Envoltória e Pré-req dos Amb'!$E$10="ZB5",AW20,IF('Envoltória e Pré-req dos Amb'!$E$10="ZB6",BA20,IF('Envoltória e Pré-req dos Amb'!$E$10="ZB7",BE20,IF('Envoltória e Pré-req dos Amb'!$E$10="ZB8",AW20,"Escolha uma ZB"))))))))</f>
        <v>#DIV/0!</v>
      </c>
      <c r="I20" s="257" t="e">
        <f>IF('Envoltória e Pré-req dos Amb'!$E$10="ZB1",R20,IF('Envoltória e Pré-req dos Amb'!$E$10="ZB2",Z20,IF('Envoltória e Pré-req dos Amb'!$E$10="ZB3",AH20,IF('Envoltória e Pré-req dos Amb'!$E$10="ZB4",AP20,IF('Envoltória e Pré-req dos Amb'!$E$10="ZB5",AX20,IF('Envoltória e Pré-req dos Amb'!$E$10="ZB6",BB20,IF('Envoltória e Pré-req dos Amb'!$E$10="ZB7",BF20,IF('Envoltória e Pré-req dos Amb'!$E$10="ZB8",AX20,"Escolha uma ZB"))))))))</f>
        <v>#DIV/0!</v>
      </c>
      <c r="J20" s="307" t="e">
        <f>IF('Envoltória e Pré-req dos Amb'!$E$10="ZB1",S20,IF('Envoltória e Pré-req dos Amb'!$E$10="ZB2",AA20,IF('Envoltória e Pré-req dos Amb'!$E$10="ZB3",AI20,IF('Envoltória e Pré-req dos Amb'!$E$10="ZB4",AQ20,IF('Envoltória e Pré-req dos Amb'!$E$10="ZB5",0,IF('Envoltória e Pré-req dos Amb'!$E$10="ZB6",0,IF('Envoltória e Pré-req dos Amb'!$E$10="ZB7",0,IF('Envoltória e Pré-req dos Amb'!$E$10="ZB8",0,"Escolha uma ZB"))))))))</f>
        <v>#DIV/0!</v>
      </c>
      <c r="K20" s="264" t="e">
        <f>IF('Envoltória e Pré-req dos Amb'!$E$10="ZB1",T20,IF('Envoltória e Pré-req dos Amb'!$E$10="ZB2",AB20,IF('Envoltória e Pré-req dos Amb'!$E$10="ZB3",AJ20,IF('Envoltória e Pré-req dos Amb'!$E$10="ZB4",AR20,IF('Envoltória e Pré-req dos Amb'!$E$10="ZB5","Não se aplica",IF('Envoltória e Pré-req dos Amb'!$E$10="ZB6","Não se aplica",IF('Envoltória e Pré-req dos Amb'!$E$10="ZB7","Não se aplica",IF('Envoltória e Pré-req dos Amb'!$E$10="ZB8","Não se aplica","Escolha uma ZB"))))))))</f>
        <v>#DIV/0!</v>
      </c>
      <c r="L20" s="311" t="e">
        <f>IF('Envoltória e Pré-req dos Amb'!$E$10="ZB1",U20,IF('Envoltória e Pré-req dos Amb'!$E$10="ZB2",AC20,IF('Envoltória e Pré-req dos Amb'!$E$10="ZB3",AK20,IF('Envoltória e Pré-req dos Amb'!$E$10="ZB4",AS20,IF('Envoltória e Pré-req dos Amb'!$E$10="ZB5",0,IF('Envoltória e Pré-req dos Amb'!$E$10="ZB6",0,IF('Envoltória e Pré-req dos Amb'!$E$10="ZB7",0,IF('Envoltória e Pré-req dos Amb'!$E$10="ZB8",0,"Escolha uma ZB"))))))))</f>
        <v>#DIV/0!</v>
      </c>
      <c r="M20" s="258" t="e">
        <f>IF('Envoltória e Pré-req dos Amb'!$E$10="ZB1",V20,IF('Envoltória e Pré-req dos Amb'!$E$10="ZB2",AD20,IF('Envoltória e Pré-req dos Amb'!$E$10="ZB3",AL20,IF('Envoltória e Pré-req dos Amb'!$E$10="ZB4",AT20,IF('Envoltória e Pré-req dos Amb'!$E$10="ZB5","Não se aplica",IF('Envoltória e Pré-req dos Amb'!$E$10="ZB6","Não se aplica",IF('Envoltória e Pré-req dos Amb'!$E$10="ZB7","Não se aplica",IF('Envoltória e Pré-req dos Amb'!$E$10="ZB8","Não se aplica","Escolha uma ZB"))))))))</f>
        <v>#DIV/0!</v>
      </c>
      <c r="N20" s="230"/>
      <c r="O20" s="242"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 + E20)+'Envoltória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 + E20)*'Envoltória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 + E20)=0,0,1) * 22.10773117 + IF('Envoltória e Pré-req dos Amb'!E28=0,0,1) * -15.78410342</f>
        <v>#DIV/0!</v>
      </c>
      <c r="P20" s="238" t="e">
        <f>IF(O20&lt;ESCALAS!$B$5, "A", IF(O20&lt;ESCALAS!$B$6,"B", IF(O20&lt;ESCALAS!$B$7, "C", IF(O20&lt;ESCALAS!$B$8, "D", IF(O20&gt;ESCALAS!$B$8, "E", "")))))</f>
        <v>#DIV/0!</v>
      </c>
      <c r="Q20"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Amb'!E24 - E20)+'Envoltória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Amb'!E24 - E20)*'Envoltória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Amb'!E24 - E20)=0,0,1) * 22.10773117 + IF('Envoltória e Pré-req dos Amb'!E28=0,0,1) * -15.78410342</f>
        <v>#DIV/0!</v>
      </c>
      <c r="R20" s="240" t="e">
        <f>IF(Q20&lt;ESCALAS!$B$5, "A", IF(Q20&lt;ESCALAS!$B$6,"B", IF(Q20&lt;ESCALAS!$B$7, "C", IF(Q20&lt;ESCALAS!$B$8, "D", IF(Q20&gt;ESCALAS!$B$8, "E", "")))))</f>
        <v>#DIV/0!</v>
      </c>
      <c r="S20"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 + E20)+'Envoltória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 + E20)+'Envoltória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 + E20)+'Envoltória e Pré-req dos Amb'!E25+'Envoltória e Pré-req dos Amb'!E26+'Envoltória e Pré-req dos Amb'!E27) * 17709 + ('Envoltória e Pré-req dos Amb'!E24 + E20)*'Envoltória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 + E20)*'Envoltória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E20)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 + E20)*'Envoltória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20" s="239" t="e">
        <f>IF(S20&lt;ESCALAS!$B$25, "A", IF(S20&lt;ESCALAS!$B$26,"B", IF(S20&lt;ESCALAS!$B$27, "C", IF(S20&lt;ESCALAS!$B$28, "D", IF(S20&gt;ESCALAS!$B$28, "E", "")))))</f>
        <v>#DIV/0!</v>
      </c>
      <c r="U20"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Amb'!E24 - E20)+'Envoltória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Amb'!E24 - E20)+'Envoltória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Amb'!E24 - E20)+'Envoltória e Pré-req dos Amb'!E25+'Envoltória e Pré-req dos Amb'!E26+'Envoltória e Pré-req dos Amb'!E27) * 17709 + ('Envoltória e Pré-req dos Amb'!E24 - E20)*'Envoltória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Amb'!E24 - E20)*'Envoltória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E20)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Amb'!E24 - E20)*'Envoltória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20" s="271" t="e">
        <f>IF(U20&lt;ESCALAS!$B$25, "A", IF(U20&lt;ESCALAS!$B$26,"B", IF(U20&lt;ESCALAS!$B$27, "C", IF(U20&lt;ESCALAS!$B$28, "D", IF(U20&gt;ESCALAS!$B$28, "E", "")))))</f>
        <v>#DIV/0!</v>
      </c>
      <c r="W20"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 E20)+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 E20)*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 E20)+ 'Envoltória e Pré-req dos Amb'!E25+ 'Envoltória e Pré-req dos Amb'!E26+ 'Envoltória e Pré-req dos Amb'!E27) * -4.07760881 +  'Envoltória e Pré-req dos Amb'!E25* 'Envoltória e Pré-req dos Amb'!E19* 'Envoltória e Pré-req dos Amb'!E21 * 40.81560322 + IF( ('Envoltória e Pré-req dos Amb'!E24 + E20)=0,0,1) * 1631.261856 + IF( 'Envoltória e Pré-req dos Amb'!E28=0,0,1) * -965.5409191 +  ('Envoltória e Pré-req dos Amb'!E24 + E20) * -21.6288447 +  'Envoltória e Pré-req dos Amb'!E13* 'Envoltória e Pré-req dos Amb'!E12 * -11.30578124 +  'Envoltória e Pré-req dos Amb'!E28* 'Envoltória e Pré-req dos Amb'!E32 * 43.11300969 +  ('Envoltória e Pré-req dos Amb'!E24 + E20)*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 E20)*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20" s="238" t="e">
        <f>IF(W20&lt;ESCALAS!$C$5, "A", IF(W20&lt;ESCALAS!$C$6,"B", IF(W20&lt;ESCALAS!$C$7, "C", IF(W20&lt;ESCALAS!$C$8, "D", IF(W20&gt;ESCALAS!$C$8, "E", "")))))</f>
        <v>#DIV/0!</v>
      </c>
      <c r="Y20"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 E20)+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 E20)*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 E20)+ 'Envoltória e Pré-req dos Amb'!E25+ 'Envoltória e Pré-req dos Amb'!E26+ 'Envoltória e Pré-req dos Amb'!E27) * -4.07760881 +  'Envoltória e Pré-req dos Amb'!E25* 'Envoltória e Pré-req dos Amb'!E19* 'Envoltória e Pré-req dos Amb'!E21 * 40.81560322 + IF( ('Envoltória e Pré-req dos Amb'!E24 - E20)=0,0,1) * 1631.261856 + IF( 'Envoltória e Pré-req dos Amb'!E28=0,0,1) * -965.5409191 +  ('Envoltória e Pré-req dos Amb'!E24 - E20) * -21.6288447 +  'Envoltória e Pré-req dos Amb'!E13* 'Envoltória e Pré-req dos Amb'!E12 * -11.30578124 +  'Envoltória e Pré-req dos Amb'!E28* 'Envoltória e Pré-req dos Amb'!E32 * 43.11300969 +  ('Envoltória e Pré-req dos Amb'!E24 - E20)*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 E20)*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20" s="240" t="e">
        <f>IF(Y20&lt;ESCALAS!$C$5, "A", IF(Y20&lt;ESCALAS!$C$6,"B", IF(Y20&lt;ESCALAS!$C$7, "C", IF(Y20&lt;ESCALAS!$C$8, "D", IF(Y20&gt;ESCALAS!$C$8, "E", "")))))</f>
        <v>#DIV/0!</v>
      </c>
      <c r="AA20"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 E20)+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 E20)+ 'Envoltória e Pré-req dos Amb'!E25+ 'Envoltória e Pré-req dos Amb'!E26+ 'Envoltória e Pré-req dos Amb'!E27)* 'Envoltória e Pré-req dos Amb'!E20 * -3 +  'Envoltória e Pré-req dos Amb'!E34 * 595 +  ('Envoltória e Pré-req dos Amb'!E24 + E20)*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 E20)*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 E20)+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 E20)* 'Envoltória e Pré-req dos Amb'!E19* 'Envoltória e Pré-req dos Amb'!E21 * -2165 +  ('Envoltória e Pré-req dos Amb'!E24 + E20)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20" s="239" t="e">
        <f>IF(AA20&lt;ESCALAS!$C$25, "A", IF(AA20&lt;ESCALAS!$C$26,"B", IF(AA20&lt;ESCALAS!$C$27, "C", IF(AA20&lt;ESCALAS!$C$28, "D", IF(AA20&gt;ESCALAS!$C$28, "E", "")))))</f>
        <v>#DIV/0!</v>
      </c>
      <c r="AC20"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 E20)+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 E20)+ 'Envoltória e Pré-req dos Amb'!E25+ 'Envoltória e Pré-req dos Amb'!E26+ 'Envoltória e Pré-req dos Amb'!E27)* 'Envoltória e Pré-req dos Amb'!E20 * -3 +  'Envoltória e Pré-req dos Amb'!E34 * 595 +  ('Envoltória e Pré-req dos Amb'!E24 - E20)*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 E20)*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 E20)+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 E20)* 'Envoltória e Pré-req dos Amb'!E19* 'Envoltória e Pré-req dos Amb'!E21 * -2165 +  ('Envoltória e Pré-req dos Amb'!E24 - E20)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20" s="271" t="e">
        <f>IF(AC20&lt;ESCALAS!$C$25, "A", IF(AC20&lt;ESCALAS!$C$26,"B", IF(AC20&lt;ESCALAS!$C$27, "C", IF(AC20&lt;ESCALAS!$C$28, "D", IF(AC20&gt;ESCALAS!$C$28, "E", "")))))</f>
        <v>#DIV/0!</v>
      </c>
      <c r="AE20"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 E20)+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 E20)*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 + E20)=0,0,1) * 738.1763019 +  ('Envoltória e Pré-req dos Amb'!E24 + E20)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20" s="238" t="e">
        <f>IF(AE20&lt;ESCALAS!$D$5, "A", IF(AE20&lt;ESCALAS!$D$6,"B", IF(AE20&lt;ESCALAS!$D$7, "C", IF(AE20&lt;ESCALAS!$D$8, "D", IF(AE20&gt;ESCALAS!$D$8, "E", "")))))</f>
        <v>#DIV/0!</v>
      </c>
      <c r="AG20"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 E20)+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 E20)*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Amb'!E24 - E20)=0,0,1) * 738.1763019 +  ('Envoltória e Pré-req dos Amb'!E24 - E20)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20" s="240" t="e">
        <f>IF(AG20&lt;ESCALAS!$D$5, "A", IF(AG20&lt;ESCALAS!$D$6,"B", IF(AG20&lt;ESCALAS!$D$7, "C", IF(AG20&lt;ESCALAS!$D$8, "D", IF(AG20&gt;ESCALAS!$D$8, "E", "")))))</f>
        <v>#DIV/0!</v>
      </c>
      <c r="AI20"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 E20)+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 E20)+ 'Envoltória e Pré-req dos Amb'!E25+ 'Envoltória e Pré-req dos Amb'!E26+ 'Envoltória e Pré-req dos Amb'!E27)* 'Envoltória e Pré-req dos Amb'!E20 * -0.021871315 +  ('Envoltória e Pré-req dos Amb'!E24 + E20)* 'Envoltória e Pré-req dos Amb'!E21 * -75.93700503 +  'Envoltória e Pré-req dos Amb'!E25* 'Envoltória e Pré-req dos Amb'!E21 * -80.33453709 +  'Envoltória e Pré-req dos Amb'!E35/ 'Envoltória e Pré-req dos Amb'!E12 * -15281.19376)/1000</f>
        <v>#DIV/0!</v>
      </c>
      <c r="AJ20" s="239" t="e">
        <f>IF(AI20&lt;ESCALAS!$D$25, "A", IF(AI20&lt;ESCALAS!$D$26,"B", IF(AI20&lt;ESCALAS!$D$27, "C", IF(AI20&lt;ESCALAS!$D$28, "D", IF(AI20&gt;ESCALAS!$D$28, "E", "")))))</f>
        <v>#DIV/0!</v>
      </c>
      <c r="AK20"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 E20)+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 E20)+ 'Envoltória e Pré-req dos Amb'!E25+ 'Envoltória e Pré-req dos Amb'!E26+ 'Envoltória e Pré-req dos Amb'!E27)* 'Envoltória e Pré-req dos Amb'!E20 * -0.021871315 +  ('Envoltória e Pré-req dos Amb'!E24 - E20)* 'Envoltória e Pré-req dos Amb'!E21 * -75.93700503 +  'Envoltória e Pré-req dos Amb'!E25* 'Envoltória e Pré-req dos Amb'!E21 * -80.33453709 +  'Envoltória e Pré-req dos Amb'!E35/ 'Envoltória e Pré-req dos Amb'!E12 * -15281.19376)/1000</f>
        <v>#DIV/0!</v>
      </c>
      <c r="AL20" s="271" t="e">
        <f>IF(AK20&lt;ESCALAS!$D$25, "A", IF(AK20&lt;ESCALAS!$D$26,"B", IF(AK20&lt;ESCALAS!$D$27, "C", IF(AK20&lt;ESCALAS!$D$28, "D", IF(AK20&gt;ESCALAS!$D$28, "E", "")))))</f>
        <v>#DIV/0!</v>
      </c>
      <c r="AM20"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 E20)+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 + E20)=0,0,1) * 457.9107523 +  ('Envoltória e Pré-req dos Amb'!E24 + E20)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 E20)+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20" s="238" t="e">
        <f>IF(AM20&lt;ESCALAS!$E$5, "A", IF(AM20&lt;ESCALAS!$E$6,"B", IF(AM20&lt;ESCALAS!$E$7, "C", IF(AM20&lt;ESCALAS!$E$8, "D", IF(AM20&gt;ESCALAS!$E$8, "E", "")))))</f>
        <v>#DIV/0!</v>
      </c>
      <c r="AO20"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 E20)+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Amb'!E24 - E20)=0,0,1) * 457.9107523 +  ('Envoltória e Pré-req dos Amb'!E24 - E20)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 E20)+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20" s="240" t="e">
        <f>IF(AO20&lt;ESCALAS!$E$5, "A", IF(AO20&lt;ESCALAS!$E$6,"B", IF(AO20&lt;ESCALAS!$E$7, "C", IF(AO20&lt;ESCALAS!$E$8, "D", IF(AO20&gt;ESCALAS!$E$8, "E", "")))))</f>
        <v>#DIV/0!</v>
      </c>
      <c r="AQ20"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 E20)+ 'Envoltória e Pré-req dos Amb'!E25+ 'Envoltória e Pré-req dos Amb'!E26+ 'Envoltória e Pré-req dos Amb'!E27) * 49.04021363 + 'Envoltória e Pré-req dos Amb'!E14 * 434.3085154 + 'Envoltória e Pré-req dos Amb'!E19 * 591.0911087 +IF( ('Envoltória e Pré-req dos Amb'!E24 + E20)=0,0,1) * -120.600036 +( 'Envoltória e Pré-req dos Amb'!E16*(IF( 'Envoltória e Pré-req dos Amb'!E13=0,0,1))) * -742.1948355 +( ('Envoltória e Pré-req dos Amb'!E24 + E20)+ 'Envoltória e Pré-req dos Amb'!E25+ 'Envoltória e Pré-req dos Amb'!E26+ 'Envoltória e Pré-req dos Amb'!E27)* 'Envoltória e Pré-req dos Amb'!E20 * -0.016929616 +IF( 'Envoltória e Pré-req dos Amb'!E25=0,0,1) * 851.6259847 + ('Envoltória e Pré-req dos Amb'!E24 + E20)*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-0.40669114113999993</v>
      </c>
      <c r="AR20" s="239" t="str">
        <f>IF(AQ20&lt;ESCALAS!$E$25, "A", IF(AQ20&lt;ESCALAS!$E$26,"B", IF(AQ20&lt;ESCALAS!$E$27, "C", IF(AQ20&lt;ESCALAS!$E$28, "D", IF(AQ20&gt;ESCALAS!$E$28, "E", "")))))</f>
        <v>A</v>
      </c>
      <c r="AS20"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 E20)+ 'Envoltória e Pré-req dos Amb'!E25+ 'Envoltória e Pré-req dos Amb'!E26+ 'Envoltória e Pré-req dos Amb'!E27) * 49.04021363 + 'Envoltória e Pré-req dos Amb'!E14 * 434.3085154 + 'Envoltória e Pré-req dos Amb'!E19 * 591.0911087 +IF( ('Envoltória e Pré-req dos Amb'!E24 - E20)=0,0,1) * -120.600036 +( 'Envoltória e Pré-req dos Amb'!E16*(IF( 'Envoltória e Pré-req dos Amb'!E13=0,0,1))) * -742.1948355 +( ('Envoltória e Pré-req dos Amb'!E24 - E20)+ 'Envoltória e Pré-req dos Amb'!E25+ 'Envoltória e Pré-req dos Amb'!E26+ 'Envoltória e Pré-req dos Amb'!E27)* 'Envoltória e Pré-req dos Amb'!E20 * -0.016929616 +IF( 'Envoltória e Pré-req dos Amb'!E25=0,0,1) * 851.6259847 + ('Envoltória e Pré-req dos Amb'!E24 - E20)*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-0.60285199566000003</v>
      </c>
      <c r="AT20" s="271" t="str">
        <f>IF(AS20&lt;ESCALAS!$E$25, "A", IF(AS20&lt;ESCALAS!$E$26,"B", IF(AS20&lt;ESCALAS!$E$27, "C", IF(AS20&lt;ESCALAS!$E$28, "D", IF(AS20&gt;ESCALAS!$E$28, "E", "")))))</f>
        <v>A</v>
      </c>
      <c r="AU20"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 + E20)=0,0,1)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E20) * -31.35605959 +  'Envoltória e Pré-req dos Amb'!E25 * 106.7381243 + IF( 'Envoltória e Pré-req dos Amb'!E26=0,0,1) * 1524.370349 +  ('Envoltória e Pré-req dos Amb'!E24 + E20)*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 E20)+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20" s="238" t="e">
        <f>IF(AU20&lt;ESCALAS!$H$5, "A", IF(AU20&lt;ESCALAS!$H$6,"B", IF(AU20&lt;ESCALAS!$H$7, "C", IF(AU20&lt;ESCALAS!$H$8, "D", IF(AU20&gt;ESCALAS!$H$8, "E", "")))))</f>
        <v>#DIV/0!</v>
      </c>
      <c r="AW20"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Amb'!E24 - E20)=0,0,1)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E20) * -31.35605959 +  'Envoltória e Pré-req dos Amb'!E25 * 106.7381243 + IF( 'Envoltória e Pré-req dos Amb'!E26=0,0,1) * 1524.370349 +  ('Envoltória e Pré-req dos Amb'!E24 - E20)*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 E20)+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20" s="240" t="e">
        <f>IF(AW20&lt;ESCALAS!$H$5, "A", IF(AW20&lt;ESCALAS!$H$6,"B", IF(AW20&lt;ESCALAS!$H$7, "C", IF(AW20&lt;ESCALAS!$H$8, "D", IF(AW20&gt;ESCALAS!$H$8, "E", "")))))</f>
        <v>#DIV/0!</v>
      </c>
      <c r="AY20"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 E20)+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 E20)* 'Envoltória e Pré-req dos Amb'!E19* 'Envoltória e Pré-req dos Amb'!E21 * 340.8291347 + IF( 'Envoltória e Pré-req dos Amb'!E27=0,0,1) * 2184.360193 + IF( ('Envoltória e Pré-req dos Amb'!E24 + E20)=0,0,1)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 E20)* 'Envoltória e Pré-req dos Amb'!E21 * -636.1283936 +  ('Envoltória e Pré-req dos Amb'!E24 + E20)* 'Envoltória e Pré-req dos Amb'!E19 * -205.49867 +  ('Envoltória e Pré-req dos Amb'!E24 + E20) * 375.6430961 +  'Envoltória e Pré-req dos Amb'!E27 * -67.21835767 + IF( 'Envoltória e Pré-req dos Amb'!E31=0,0,1) * -708.5751101</f>
        <v>#DIV/0!</v>
      </c>
      <c r="AZ20" s="238" t="e">
        <f>IF(AY20&lt;ESCALAS!$F$5, "A", IF(AY20&lt;ESCALAS!$F$6,"B", IF(AY20&lt;ESCALAS!$F$7, "C", IF(AY20&lt;ESCALAS!$F$8, "D", IF(AY20&gt;ESCALAS!$F$8, "E", "")))))</f>
        <v>#DIV/0!</v>
      </c>
      <c r="BA20"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 E20)+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 E20)* 'Envoltória e Pré-req dos Amb'!E19* 'Envoltória e Pré-req dos Amb'!E21 * 340.8291347 + IF( 'Envoltória e Pré-req dos Amb'!E27=0,0,1) * 2184.360193 + IF( ('Envoltória e Pré-req dos Amb'!E24 - E20)=0,0,1)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 E20)* 'Envoltória e Pré-req dos Amb'!E21 * -636.1283936 +  ('Envoltória e Pré-req dos Amb'!E24 - E20)* 'Envoltória e Pré-req dos Amb'!E19 * -205.49867 +  ('Envoltória e Pré-req dos Amb'!E24 - E20) * 375.6430961 +  'Envoltória e Pré-req dos Amb'!E27 * -67.21835767 + IF( 'Envoltória e Pré-req dos Amb'!E31=0,0,1) * -708.5751101</f>
        <v>#DIV/0!</v>
      </c>
      <c r="BB20" s="240" t="e">
        <f>IF(BA20&lt;ESCALAS!$F$5, "A", IF(BA20&lt;ESCALAS!$F$6,"B", IF(BA20&lt;ESCALAS!$F$7, "C", IF(BA20&lt;ESCALAS!$F$8, "D", IF(BA20&gt;ESCALAS!$F$8, "E", "")))))</f>
        <v>#DIV/0!</v>
      </c>
      <c r="BC20"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 E20)+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 + E20)=0,0,1) * 3647.330823 +  'Envoltória e Pré-req dos Amb'!E27* 'Envoltória e Pré-req dos Amb'!E19* 'Envoltória e Pré-req dos Amb'!E21 * 469.8835898 + ( 'Envoltória e Pré-req dos Amb'!E16*(IF( 'Envoltória e Pré-req dos Amb'!E13=0,0,1))) * -1341.294799 +  ('Envoltória e Pré-req dos Amb'!E24 + E20) * -586.4147006 +  'Envoltória e Pré-req dos Amb'!E28* 'Envoltória e Pré-req dos Amb'!E32 * 416.5897659 +  'Envoltória e Pré-req dos Amb'!E28 * -182.6811426 +  ('Envoltória e Pré-req dos Amb'!E24 + E20)* 'Envoltória e Pré-req dos Amb'!E19* 'Envoltória e Pré-req dos Amb'!E21 * 63.2489521 + ( 'Envoltória e Pré-req dos Amb'!E19* 'Envoltória e Pré-req dos Amb'!E21/ 'Envoltória e Pré-req dos Amb'!E20)*( ('Envoltória e Pré-req dos Amb'!E24 + E20)+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 E20)+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20" s="238" t="e">
        <f>IF(BC20&lt;ESCALAS!$G$5, "A", IF(BC20&lt;ESCALAS!$G$6,"B", IF(BC20&lt;ESCALAS!$G$7, "C", IF(BC20&lt;ESCALAS!$G$8, "D", IF(BC20&gt;ESCALAS!$G$8, "E", "")))))</f>
        <v>#DIV/0!</v>
      </c>
      <c r="BE20"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 E20)+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Amb'!E24 - E20)=0,0,1) * 3647.330823 +  'Envoltória e Pré-req dos Amb'!E27* 'Envoltória e Pré-req dos Amb'!E19* 'Envoltória e Pré-req dos Amb'!E21 * 469.8835898 + ( 'Envoltória e Pré-req dos Amb'!E16*(IF( 'Envoltória e Pré-req dos Amb'!E13=0,0,1))) * -1341.294799 +  ('Envoltória e Pré-req dos Amb'!E24 - E20) * -586.4147006 +  'Envoltória e Pré-req dos Amb'!E28* 'Envoltória e Pré-req dos Amb'!E32 * 416.5897659 +  'Envoltória e Pré-req dos Amb'!E28 * -182.6811426 +  ('Envoltória e Pré-req dos Amb'!E24 - E20)* 'Envoltória e Pré-req dos Amb'!E19* 'Envoltória e Pré-req dos Amb'!E21 * 63.2489521 + ( 'Envoltória e Pré-req dos Amb'!E19* 'Envoltória e Pré-req dos Amb'!E21/ 'Envoltória e Pré-req dos Amb'!E20)*( ('Envoltória e Pré-req dos Amb'!E24 - E20)+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 E20)+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20" s="240" t="e">
        <f>IF(BE20&lt;ESCALAS!$G$5, "A", IF(BE20&lt;ESCALAS!$G$6,"B", IF(BE20&lt;ESCALAS!$G$7, "C", IF(BE20&lt;ESCALAS!$G$8, "D", IF(BE20&gt;ESCALAS!$G$8, "E", "")))))</f>
        <v>#DIV/0!</v>
      </c>
    </row>
    <row r="21" spans="2:58" x14ac:dyDescent="0.2">
      <c r="B21" s="400"/>
      <c r="C21" s="104" t="s">
        <v>227</v>
      </c>
      <c r="D21" s="83">
        <v>2</v>
      </c>
      <c r="E21" s="284">
        <v>2</v>
      </c>
      <c r="F21" s="295" t="e">
        <f>IF('Envoltória e Pré-req dos Amb'!$E$10="ZB1",O21,IF('Envoltória e Pré-req dos Amb'!$E$10="ZB2",W21,IF('Envoltória e Pré-req dos Amb'!$E$10="ZB3",AE21,IF('Envoltória e Pré-req dos Amb'!$E$10="ZB4",AM21,IF('Envoltória e Pré-req dos Amb'!$E$10="ZB5",AU21,IF('Envoltória e Pré-req dos Amb'!$E$10="ZB6",AY21,IF('Envoltória e Pré-req dos Amb'!$E$10="ZB7",BC21,IF('Envoltória e Pré-req dos Amb'!$E$10="ZB8",AU21,"Escolha uma ZB"))))))))</f>
        <v>#DIV/0!</v>
      </c>
      <c r="G21" s="265" t="e">
        <f>IF('Envoltória e Pré-req dos Amb'!$E$10="ZB1",P21,IF('Envoltória e Pré-req dos Amb'!$E$10="ZB2",X21,IF('Envoltória e Pré-req dos Amb'!$E$10="ZB3",AF21,IF('Envoltória e Pré-req dos Amb'!$E$10="ZB4",AN21,IF('Envoltória e Pré-req dos Amb'!$E$10="ZB5",AV21,IF('Envoltória e Pré-req dos Amb'!$E$10="ZB6",AZ21,IF('Envoltória e Pré-req dos Amb'!$E$10="ZB7",BD21,IF('Envoltória e Pré-req dos Amb'!$E$10="ZB8",AV21,"Escolha uma ZB"))))))))</f>
        <v>#DIV/0!</v>
      </c>
      <c r="H21" s="301" t="e">
        <f>IF('Envoltória e Pré-req dos Amb'!$E$10="ZB1",Q21,IF('Envoltória e Pré-req dos Amb'!$E$10="ZB2",Y21,IF('Envoltória e Pré-req dos Amb'!$E$10="ZB3",AG21,IF('Envoltória e Pré-req dos Amb'!$E$10="ZB4",AO21,IF('Envoltória e Pré-req dos Amb'!$E$10="ZB5",AW21,IF('Envoltória e Pré-req dos Amb'!$E$10="ZB6",BA21,IF('Envoltória e Pré-req dos Amb'!$E$10="ZB7",BE21,IF('Envoltória e Pré-req dos Amb'!$E$10="ZB8",AW21,"Escolha uma ZB"))))))))</f>
        <v>#DIV/0!</v>
      </c>
      <c r="I21" s="259" t="e">
        <f>IF('Envoltória e Pré-req dos Amb'!$E$10="ZB1",R21,IF('Envoltória e Pré-req dos Amb'!$E$10="ZB2",Z21,IF('Envoltória e Pré-req dos Amb'!$E$10="ZB3",AH21,IF('Envoltória e Pré-req dos Amb'!$E$10="ZB4",AP21,IF('Envoltória e Pré-req dos Amb'!$E$10="ZB5",AX21,IF('Envoltória e Pré-req dos Amb'!$E$10="ZB6",BB21,IF('Envoltória e Pré-req dos Amb'!$E$10="ZB7",BF21,IF('Envoltória e Pré-req dos Amb'!$E$10="ZB8",AX21,"Escolha uma ZB"))))))))</f>
        <v>#DIV/0!</v>
      </c>
      <c r="J21" s="308" t="e">
        <f>IF('Envoltória e Pré-req dos Amb'!$E$10="ZB1",S21,IF('Envoltória e Pré-req dos Amb'!$E$10="ZB2",AA21,IF('Envoltória e Pré-req dos Amb'!$E$10="ZB3",AI21,IF('Envoltória e Pré-req dos Amb'!$E$10="ZB4",AQ21,IF('Envoltória e Pré-req dos Amb'!$E$10="ZB5",0,IF('Envoltória e Pré-req dos Amb'!$E$10="ZB6",0,IF('Envoltória e Pré-req dos Amb'!$E$10="ZB7",0,IF('Envoltória e Pré-req dos Amb'!$E$10="ZB8",0,"Escolha uma ZB"))))))))</f>
        <v>#DIV/0!</v>
      </c>
      <c r="K21" s="265" t="e">
        <f>IF('Envoltória e Pré-req dos Amb'!$E$10="ZB1",T21,IF('Envoltória e Pré-req dos Amb'!$E$10="ZB2",AB21,IF('Envoltória e Pré-req dos Amb'!$E$10="ZB3",AJ21,IF('Envoltória e Pré-req dos Amb'!$E$10="ZB4",AR21,IF('Envoltória e Pré-req dos Amb'!$E$10="ZB5","Não se aplica",IF('Envoltória e Pré-req dos Amb'!$E$10="ZB6","Não se aplica",IF('Envoltória e Pré-req dos Amb'!$E$10="ZB7","Não se aplica",IF('Envoltória e Pré-req dos Amb'!$E$10="ZB8","Não se aplica","Escolha uma ZB"))))))))</f>
        <v>#DIV/0!</v>
      </c>
      <c r="L21" s="312" t="e">
        <f>IF('Envoltória e Pré-req dos Amb'!$E$10="ZB1",U21,IF('Envoltória e Pré-req dos Amb'!$E$10="ZB2",AC21,IF('Envoltória e Pré-req dos Amb'!$E$10="ZB3",AK21,IF('Envoltória e Pré-req dos Amb'!$E$10="ZB4",AS21,IF('Envoltória e Pré-req dos Amb'!$E$10="ZB5",0,IF('Envoltória e Pré-req dos Amb'!$E$10="ZB6",0,IF('Envoltória e Pré-req dos Amb'!$E$10="ZB7",0,IF('Envoltória e Pré-req dos Amb'!$E$10="ZB8",0,"Escolha uma ZB"))))))))</f>
        <v>#DIV/0!</v>
      </c>
      <c r="M21" s="260" t="e">
        <f>IF('Envoltória e Pré-req dos Amb'!$E$10="ZB1",V21,IF('Envoltória e Pré-req dos Amb'!$E$10="ZB2",AD21,IF('Envoltória e Pré-req dos Amb'!$E$10="ZB3",AL21,IF('Envoltória e Pré-req dos Amb'!$E$10="ZB4",AT21,IF('Envoltória e Pré-req dos Amb'!$E$10="ZB5","Não se aplica",IF('Envoltória e Pré-req dos Amb'!$E$10="ZB6","Não se aplica",IF('Envoltória e Pré-req dos Amb'!$E$10="ZB7","Não se aplica",IF('Envoltória e Pré-req dos Amb'!$E$10="ZB8","Não se aplica","Escolha uma ZB"))))))))</f>
        <v>#DIV/0!</v>
      </c>
      <c r="N21" s="230"/>
      <c r="O21"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 + E21)+'Envoltória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 + E21)*'Envoltória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21" s="238" t="e">
        <f>IF(O21&lt;ESCALAS!$B$5, "A", IF(O21&lt;ESCALAS!$B$6,"B", IF(O21&lt;ESCALAS!$B$7, "C", IF(O21&lt;ESCALAS!$B$8, "D", IF(O21&gt;ESCALAS!$B$8, "E", "")))))</f>
        <v>#DIV/0!</v>
      </c>
      <c r="Q21"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Amb'!E25 - E21)+'Envoltória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Amb'!E25 - E21)*'Envoltória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21" s="240" t="e">
        <f>IF(Q21&lt;ESCALAS!$B$5, "A", IF(Q21&lt;ESCALAS!$B$6,"B", IF(Q21&lt;ESCALAS!$B$7, "C", IF(Q21&lt;ESCALAS!$B$8, "D", IF(Q21&gt;ESCALAS!$B$8, "E", "")))))</f>
        <v>#DIV/0!</v>
      </c>
      <c r="S21"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 + E21)+'Envoltória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E21) * -5503 + 'Envoltória e Pré-req dos Amb'!E32 * 79769 + 'Envoltória e Pré-req dos Amb'!E22 * 63011 + 'Envoltória e Pré-req dos Amb'!E34 * 6373 + ('Envoltória e Pré-req dos Amb'!E24+('Envoltória e Pré-req dos Amb'!E25 + E21)+'Envoltória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 + E21)+'Envoltória e Pré-req dos Amb'!E26+'Envoltória e Pré-req dos Amb'!E27) * 17709 + 'Envoltória e Pré-req dos Amb'!E24*'Envoltória e Pré-req dos Amb'!E21 * -1890 + 'Envoltória e Pré-req dos Amb'!E35 * -75955 + 'Envoltória e Pré-req dos Amb'!E33 * 26363 + ('Envoltória e Pré-req dos Amb'!E25 + E21)*'Envoltória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 + E21)*'Envoltória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 + E21)*'Envoltória e Pré-req dos Amb'!E19*'Envoltória e Pré-req dos Amb'!E21 * -2821 + 'Envoltória e Pré-req dos Amb'!E31 * 17484 + 'Envoltória e Pré-req dos Amb'!E31*'Envoltória e Pré-req dos Amb'!E33 * -20537 + IF(('Envoltória e Pré-req dos Amb'!E25 + E21)=0,0,1) * -17090 + 'Envoltória e Pré-req dos Amb'!E28*IMABS('Envoltória e Pré-req dos Amb'!E33-1) * -14061 + 'Envoltória e Pré-req dos Amb'!E28*'Envoltória e Pré-req dos Amb'!E33 * -21052 + 'Envoltória e Pré-req dos Amb'!E28 * 11213)/1000) /'Envoltória e Pré-req dos Amb'!E12</f>
        <v>#DIV/0!</v>
      </c>
      <c r="T21" s="239" t="e">
        <f>IF(S21&lt;ESCALAS!$B$25, "A", IF(S21&lt;ESCALAS!$B$26,"B", IF(S21&lt;ESCALAS!$B$27, "C", IF(S21&lt;ESCALAS!$B$28, "D", IF(S21&gt;ESCALAS!$B$28, "E", "")))))</f>
        <v>#DIV/0!</v>
      </c>
      <c r="U21"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Amb'!E25 - E21)+'Envoltória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E21) * -5503 + 'Envoltória e Pré-req dos Amb'!E32 * 79769 + 'Envoltória e Pré-req dos Amb'!E22 * 63011 + 'Envoltória e Pré-req dos Amb'!E34 * 6373 + ('Envoltória e Pré-req dos Amb'!E24+('Envoltória e Pré-req dos Amb'!E25 - E21)+'Envoltória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Amb'!E25 - E21)+'Envoltória e Pré-req dos Amb'!E26+'Envoltória e Pré-req dos Amb'!E27) * 17709 + 'Envoltória e Pré-req dos Amb'!E24*'Envoltória e Pré-req dos Amb'!E21 * -1890 + 'Envoltória e Pré-req dos Amb'!E35 * -75955 + 'Envoltória e Pré-req dos Amb'!E33 * 26363 + ('Envoltória e Pré-req dos Amb'!E25 - E21)*'Envoltória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Amb'!E25 - E21)*'Envoltória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Amb'!E25 - E21)*'Envoltória e Pré-req dos Amb'!E19*'Envoltória e Pré-req dos Amb'!E21 * -2821 + 'Envoltória e Pré-req dos Amb'!E31 * 17484 + 'Envoltória e Pré-req dos Amb'!E31*'Envoltória e Pré-req dos Amb'!E33 * -20537 + IF(('Envoltória e Pré-req dos Amb'!E25 - E21)=0,0,1) * -17090 + 'Envoltória e Pré-req dos Amb'!E28*IMABS('Envoltória e Pré-req dos Amb'!E33-1) * -14061 + 'Envoltória e Pré-req dos Amb'!E28*'Envoltória e Pré-req dos Amb'!E33 * -21052 + 'Envoltória e Pré-req dos Amb'!E28 * 11213)/1000) /'Envoltória e Pré-req dos Amb'!E12</f>
        <v>#DIV/0!</v>
      </c>
      <c r="V21" s="271" t="e">
        <f>IF(U21&lt;ESCALAS!$B$25, "A", IF(U21&lt;ESCALAS!$B$26,"B", IF(U21&lt;ESCALAS!$B$27, "C", IF(U21&lt;ESCALAS!$B$28, "D", IF(U21&gt;ESCALAS!$B$28, "E", "")))))</f>
        <v>#DIV/0!</v>
      </c>
      <c r="W21"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 E21)+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 E21)+ 'Envoltória e Pré-req dos Amb'!E26+ 'Envoltória e Pré-req dos Amb'!E27) * -4.07760881 +  ('Envoltória e Pré-req dos Amb'!E25 + E21)*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 E21)*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21" s="238" t="e">
        <f>IF(W21&lt;ESCALAS!$C$5, "A", IF(W21&lt;ESCALAS!$C$6,"B", IF(W21&lt;ESCALAS!$C$7, "C", IF(W21&lt;ESCALAS!$C$8, "D", IF(W21&gt;ESCALAS!$C$8, "E", "")))))</f>
        <v>#DIV/0!</v>
      </c>
      <c r="Y21"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 E21)+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 E21)+ 'Envoltória e Pré-req dos Amb'!E26+ 'Envoltória e Pré-req dos Amb'!E27) * -4.07760881 +  ('Envoltória e Pré-req dos Amb'!E25 - E21)*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 E21)*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21" s="240" t="e">
        <f>IF(Y21&lt;ESCALAS!$C$5, "A", IF(Y21&lt;ESCALAS!$C$6,"B", IF(Y21&lt;ESCALAS!$C$7, "C", IF(Y21&lt;ESCALAS!$C$8, "D", IF(Y21&gt;ESCALAS!$C$8, "E", "")))))</f>
        <v>#DIV/0!</v>
      </c>
      <c r="AA21"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 + E21)=0,0,1) * -9455 +  'Envoltória e Pré-req dos Amb'!E34* 'Envoltória e Pré-req dos Amb'!E20 * -1 + ( 'Envoltória e Pré-req dos Amb'!E19* 'Envoltória e Pré-req dos Amb'!E21/ 'Envoltória e Pré-req dos Amb'!E20)*( 'Envoltória e Pré-req dos Amb'!E24+ ('Envoltória e Pré-req dos Amb'!E25 + E21)+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E21) * -1316 + ( 'Envoltória e Pré-req dos Amb'!E24+ ('Envoltória e Pré-req dos Amb'!E25 + E21)+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 E21)* 'Envoltória e Pré-req dos Amb'!E21 * -914 +  'Envoltória e Pré-req dos Amb'!E29 * 5548 +  'Envoltória e Pré-req dos Amb'!E24* 'Envoltória e Pré-req dos Amb'!E19 * 2189 +  ('Envoltória e Pré-req dos Amb'!E25 + E21)*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 E21)+ 'Envoltória e Pré-req dos Amb'!E26+ 'Envoltória e Pré-req dos Amb'!E27) * 5175 +  'Envoltória e Pré-req dos Amb'!E28* 'Envoltória e Pré-req dos Amb'!E39 * 1579 +  'Envoltória e Pré-req dos Amb'!E28 * -7565 +  ('Envoltória e Pré-req dos Amb'!E25 + E21)*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21" s="239" t="e">
        <f>IF(AA21&lt;ESCALAS!$C$25, "A", IF(AA21&lt;ESCALAS!$C$26,"B", IF(AA21&lt;ESCALAS!$C$27, "C", IF(AA21&lt;ESCALAS!$C$28, "D", IF(AA21&gt;ESCALAS!$C$28, "E", "")))))</f>
        <v>#DIV/0!</v>
      </c>
      <c r="AC21"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Amb'!E25 - E21)=0,0,1) * -9455 +  'Envoltória e Pré-req dos Amb'!E34* 'Envoltória e Pré-req dos Amb'!E20 * -1 + ( 'Envoltória e Pré-req dos Amb'!E19* 'Envoltória e Pré-req dos Amb'!E21/ 'Envoltória e Pré-req dos Amb'!E20)*( 'Envoltória e Pré-req dos Amb'!E24+ ('Envoltória e Pré-req dos Amb'!E25 - E21)+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E21) * -1316 + ( 'Envoltória e Pré-req dos Amb'!E24+ ('Envoltória e Pré-req dos Amb'!E25 - E21)+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 E21)* 'Envoltória e Pré-req dos Amb'!E21 * -914 +  'Envoltória e Pré-req dos Amb'!E29 * 5548 +  'Envoltória e Pré-req dos Amb'!E24* 'Envoltória e Pré-req dos Amb'!E19 * 2189 +  ('Envoltória e Pré-req dos Amb'!E25 - E21)*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 E21)+ 'Envoltória e Pré-req dos Amb'!E26+ 'Envoltória e Pré-req dos Amb'!E27) * 5175 +  'Envoltória e Pré-req dos Amb'!E28* 'Envoltória e Pré-req dos Amb'!E39 * 1579 +  'Envoltória e Pré-req dos Amb'!E28 * -7565 +  ('Envoltória e Pré-req dos Amb'!E25 - E21)*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21" s="271" t="e">
        <f>IF(AC21&lt;ESCALAS!$C$25, "A", IF(AC21&lt;ESCALAS!$C$26,"B", IF(AC21&lt;ESCALAS!$C$27, "C", IF(AC21&lt;ESCALAS!$C$28, "D", IF(AC21&gt;ESCALAS!$C$28, "E", "")))))</f>
        <v>#DIV/0!</v>
      </c>
      <c r="AE21"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 E21)+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 E21)*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 + E21)=0,0,1)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E21) * 26.09247753 +  'Envoltória e Pré-req dos Amb'!E28*IMABS( 'Envoltória e Pré-req dos Amb'!E33-1) * -34.77773789</f>
        <v>#DIV/0!</v>
      </c>
      <c r="AF21" s="238" t="e">
        <f>IF(AE21&lt;ESCALAS!$D$5, "A", IF(AE21&lt;ESCALAS!$D$6,"B", IF(AE21&lt;ESCALAS!$D$7, "C", IF(AE21&lt;ESCALAS!$D$8, "D", IF(AE21&gt;ESCALAS!$D$8, "E", "")))))</f>
        <v>#DIV/0!</v>
      </c>
      <c r="AG21"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 E21)+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 E21)*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Amb'!E25 - E21)=0,0,1)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E21) * 26.09247753 +  'Envoltória e Pré-req dos Amb'!E28*IMABS( 'Envoltória e Pré-req dos Amb'!E33-1) * -34.77773789</f>
        <v>#DIV/0!</v>
      </c>
      <c r="AH21" s="240" t="e">
        <f>IF(AG21&lt;ESCALAS!$D$5, "A", IF(AG21&lt;ESCALAS!$D$6,"B", IF(AG21&lt;ESCALAS!$D$7, "C", IF(AG21&lt;ESCALAS!$D$8, "D", IF(AG21&gt;ESCALAS!$D$8, "E", "")))))</f>
        <v>#DIV/0!</v>
      </c>
      <c r="AI21" s="270" t="e">
        <f xml:space="preserve"> (6981.813636 +  'Envoltória e Pré-req dos Amb'!E20 * 0.371721623 +  'Envoltória e Pré-req dos Amb'!E12 * -122.4305767 + IF( ('Envoltória e Pré-req dos Amb'!E25 + E21)=0,0,1)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 E21)+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 E21)+ 'Envoltória e Pré-req dos Amb'!E26+ 'Envoltória e Pré-req dos Amb'!E27)* 'Envoltória e Pré-req dos Amb'!E20 * -0.021871315 +  'Envoltória e Pré-req dos Amb'!E24* 'Envoltória e Pré-req dos Amb'!E21 * -75.93700503 +  ('Envoltória e Pré-req dos Amb'!E25 + E21)* 'Envoltória e Pré-req dos Amb'!E21 * -80.33453709 +  'Envoltória e Pré-req dos Amb'!E35/ 'Envoltória e Pré-req dos Amb'!E12 * -15281.19376)/1000</f>
        <v>#DIV/0!</v>
      </c>
      <c r="AJ21" s="239" t="e">
        <f>IF(AI21&lt;ESCALAS!$D$25, "A", IF(AI21&lt;ESCALAS!$D$26,"B", IF(AI21&lt;ESCALAS!$D$27, "C", IF(AI21&lt;ESCALAS!$D$28, "D", IF(AI21&gt;ESCALAS!$D$28, "E", "")))))</f>
        <v>#DIV/0!</v>
      </c>
      <c r="AK21" s="270" t="e">
        <f xml:space="preserve"> (6981.813636 +  'Envoltória e Pré-req dos Amb'!E20 * 0.371721623 +  'Envoltória e Pré-req dos Amb'!E12 * -122.4305767 + IF( ('Envoltória e Pré-req dos Amb'!E25 - E21)=0,0,1)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 E21)+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 E21)+ 'Envoltória e Pré-req dos Amb'!E26+ 'Envoltória e Pré-req dos Amb'!E27)* 'Envoltória e Pré-req dos Amb'!E20 * -0.021871315 +  'Envoltória e Pré-req dos Amb'!E24* 'Envoltória e Pré-req dos Amb'!E21 * -75.93700503 +  ('Envoltória e Pré-req dos Amb'!E25 - E21)* 'Envoltória e Pré-req dos Amb'!E21 * -80.33453709 +  'Envoltória e Pré-req dos Amb'!E35/ 'Envoltória e Pré-req dos Amb'!E12 * -15281.19376)/1000</f>
        <v>#DIV/0!</v>
      </c>
      <c r="AL21" s="271" t="e">
        <f>IF(AK21&lt;ESCALAS!$D$25, "A", IF(AK21&lt;ESCALAS!$D$26,"B", IF(AK21&lt;ESCALAS!$D$27, "C", IF(AK21&lt;ESCALAS!$D$28, "D", IF(AK21&gt;ESCALAS!$D$28, "E", "")))))</f>
        <v>#DIV/0!</v>
      </c>
      <c r="AM21"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 E21)+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 + E21)=0,0,1)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 E21)+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E21) * 26.97532108 +  'Envoltória e Pré-req dos Amb'!E27* 'Envoltória e Pré-req dos Amb'!E19* 'Envoltória e Pré-req dos Amb'!E21 * 8.355821307 +  'Envoltória e Pré-req dos Amb'!E30*IMABS( 'Envoltória e Pré-req dos Amb'!E33-1) * -13.36922974</f>
        <v>#DIV/0!</v>
      </c>
      <c r="AN21" s="238" t="e">
        <f>IF(AM21&lt;ESCALAS!$E$5, "A", IF(AM21&lt;ESCALAS!$E$6,"B", IF(AM21&lt;ESCALAS!$E$7, "C", IF(AM21&lt;ESCALAS!$E$8, "D", IF(AM21&gt;ESCALAS!$E$8, "E", "")))))</f>
        <v>#DIV/0!</v>
      </c>
      <c r="AO21"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 E21)+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Amb'!E25 - E21)=0,0,1)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 E21)+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E21) * 26.97532108 +  'Envoltória e Pré-req dos Amb'!E27* 'Envoltória e Pré-req dos Amb'!E19* 'Envoltória e Pré-req dos Amb'!E21 * 8.355821307 +  'Envoltória e Pré-req dos Amb'!E30*IMABS( 'Envoltória e Pré-req dos Amb'!E33-1) * -13.36922974</f>
        <v>#DIV/0!</v>
      </c>
      <c r="AP21" s="240" t="e">
        <f>IF(AO21&lt;ESCALAS!$E$5, "A", IF(AO21&lt;ESCALAS!$E$6,"B", IF(AO21&lt;ESCALAS!$E$7, "C", IF(AO21&lt;ESCALAS!$E$8, "D", IF(AO21&gt;ESCALAS!$E$8, "E", "")))))</f>
        <v>#DIV/0!</v>
      </c>
      <c r="AQ21" s="270">
        <f>(-384.1715324 + 'Envoltória e Pré-req dos Amb'!E22 * 1948.761766 + 'Envoltória e Pré-req dos Amb'!E12 * 223.8194969 + 'Envoltória e Pré-req dos Amb'!E33 * 849.5126052 + ('Envoltória e Pré-req dos Amb'!E25 + E21)*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 E21)+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 E21)+ 'Envoltória e Pré-req dos Amb'!E26+ 'Envoltória e Pré-req dos Amb'!E27)* 'Envoltória e Pré-req dos Amb'!E20 * -0.016929616 +IF( ('Envoltória e Pré-req dos Amb'!E25 + E21)=0,0,1) * 851.6259847 + 'Envoltória e Pré-req dos Amb'!E24* 'Envoltória e Pré-req dos Amb'!E19* 'Envoltória e Pré-req dos Amb'!E21 * -34.36252394 + 'Envoltória e Pré-req dos Amb'!E35 * 1636.10823 + ('Envoltória e Pré-req dos Amb'!E25 + E21)* 'Envoltória e Pré-req dos Amb'!E19* 'Envoltória e Pré-req dos Amb'!E21 * -29.78486643 + 'Envoltória e Pré-req dos Amb'!E35* 'Envoltória e Pré-req dos Amb'!E12 * -104.071993)/1000</f>
        <v>0.56553487956000004</v>
      </c>
      <c r="AR21" s="239" t="str">
        <f>IF(AQ21&lt;ESCALAS!$E$25, "A", IF(AQ21&lt;ESCALAS!$E$26,"B", IF(AQ21&lt;ESCALAS!$E$27, "C", IF(AQ21&lt;ESCALAS!$E$28, "D", IF(AQ21&gt;ESCALAS!$E$28, "E", "")))))</f>
        <v>A</v>
      </c>
      <c r="AS21" s="270">
        <f>(-384.1715324 + 'Envoltória e Pré-req dos Amb'!E22 * 1948.761766 + 'Envoltória e Pré-req dos Amb'!E12 * 223.8194969 + 'Envoltória e Pré-req dos Amb'!E33 * 849.5126052 + ('Envoltória e Pré-req dos Amb'!E25 - E21)*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 E21)+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 E21)+ 'Envoltória e Pré-req dos Amb'!E26+ 'Envoltória e Pré-req dos Amb'!E27)* 'Envoltória e Pré-req dos Amb'!E20 * -0.016929616 +IF( ('Envoltória e Pré-req dos Amb'!E25 - E21)=0,0,1) * 851.6259847 + 'Envoltória e Pré-req dos Amb'!E24* 'Envoltória e Pré-req dos Amb'!E19* 'Envoltória e Pré-req dos Amb'!E21 * -34.36252394 + 'Envoltória e Pré-req dos Amb'!E35 * 1636.10823 + ('Envoltória e Pré-req dos Amb'!E25 - E21)* 'Envoltória e Pré-req dos Amb'!E19* 'Envoltória e Pré-req dos Amb'!E21 * -29.78486643 + 'Envoltória e Pré-req dos Amb'!E35* 'Envoltória e Pré-req dos Amb'!E12 * -104.071993)/1000</f>
        <v>0.36937402504</v>
      </c>
      <c r="AT21" s="271" t="str">
        <f>IF(AS21&lt;ESCALAS!$E$25, "A", IF(AS21&lt;ESCALAS!$E$26,"B", IF(AS21&lt;ESCALAS!$E$27, "C", IF(AS21&lt;ESCALAS!$E$28, "D", IF(AS21&gt;ESCALAS!$E$28, "E", "")))))</f>
        <v>A</v>
      </c>
      <c r="AU21"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E21)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 E21)+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 + E21)=0,0,1)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21" s="238" t="e">
        <f>IF(AU21&lt;ESCALAS!$H$5, "A", IF(AU21&lt;ESCALAS!$H$6,"B", IF(AU21&lt;ESCALAS!$H$7, "C", IF(AU21&lt;ESCALAS!$H$8, "D", IF(AU21&gt;ESCALAS!$H$8, "E", "")))))</f>
        <v>#DIV/0!</v>
      </c>
      <c r="AW21"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E21)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 E21)+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Amb'!E25 - E21)=0,0,1)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21" s="240" t="e">
        <f>IF(AW21&lt;ESCALAS!$H$5, "A", IF(AW21&lt;ESCALAS!$H$6,"B", IF(AW21&lt;ESCALAS!$H$7, "C", IF(AW21&lt;ESCALAS!$H$8, "D", IF(AW21&gt;ESCALAS!$H$8, "E", "")))))</f>
        <v>#DIV/0!</v>
      </c>
      <c r="AY21"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 E21)+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 E21)* 'Envoltória e Pré-req dos Amb'!E19 * 15.94637034 +  'Envoltória e Pré-req dos Amb'!E26* 'Envoltória e Pré-req dos Amb'!E19* 'Envoltória e Pré-req dos Amb'!E21 * 61.7514998 +  'Envoltória e Pré-req dos Amb'!E30* 'Envoltória e Pré-req dos Amb'!E32 * 353.0820494 + IF( ('Envoltória e Pré-req dos Amb'!E25 + E21)=0,0,1)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21" s="238" t="e">
        <f>IF(AY21&lt;ESCALAS!$F$5, "A", IF(AY21&lt;ESCALAS!$F$6,"B", IF(AY21&lt;ESCALAS!$F$7, "C", IF(AY21&lt;ESCALAS!$F$8, "D", IF(AY21&gt;ESCALAS!$F$8, "E", "")))))</f>
        <v>#DIV/0!</v>
      </c>
      <c r="BA21"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 E21)+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 E21)* 'Envoltória e Pré-req dos Amb'!E19 * 15.94637034 +  'Envoltória e Pré-req dos Amb'!E26* 'Envoltória e Pré-req dos Amb'!E19* 'Envoltória e Pré-req dos Amb'!E21 * 61.7514998 +  'Envoltória e Pré-req dos Amb'!E30* 'Envoltória e Pré-req dos Amb'!E32 * 353.0820494 + IF( ('Envoltória e Pré-req dos Amb'!E25 - E21)=0,0,1)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21" s="240" t="e">
        <f>IF(BA21&lt;ESCALAS!$F$5, "A", IF(BA21&lt;ESCALAS!$F$6,"B", IF(BA21&lt;ESCALAS!$F$7, "C", IF(BA21&lt;ESCALAS!$F$8, "D", IF(BA21&gt;ESCALAS!$F$8, "E", "")))))</f>
        <v>#DIV/0!</v>
      </c>
      <c r="BC21"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 E21)+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E21)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 E21)+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 E21)+ 'Envoltória e Pré-req dos Amb'!E26+ 'Envoltória e Pré-req dos Amb'!E27)* 'Envoltória e Pré-req dos Amb'!E20 * -0.022638015 +  'Envoltória e Pré-req dos Amb'!E27* 'Envoltória e Pré-req dos Amb'!E19 * -279.5554246 +  'Envoltória e Pré-req dos Amb'!E26 * -540.0450775</f>
        <v>#DIV/0!</v>
      </c>
      <c r="BD21" s="238" t="e">
        <f>IF(BC21&lt;ESCALAS!$G$5, "A", IF(BC21&lt;ESCALAS!$G$6,"B", IF(BC21&lt;ESCALAS!$G$7, "C", IF(BC21&lt;ESCALAS!$G$8, "D", IF(BC21&gt;ESCALAS!$G$8, "E", "")))))</f>
        <v>#DIV/0!</v>
      </c>
      <c r="BE21"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 E21)+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E21)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 E21)+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 E21)+ 'Envoltória e Pré-req dos Amb'!E26+ 'Envoltória e Pré-req dos Amb'!E27)* 'Envoltória e Pré-req dos Amb'!E20 * -0.022638015 +  'Envoltória e Pré-req dos Amb'!E27* 'Envoltória e Pré-req dos Amb'!E19 * -279.5554246 +  'Envoltória e Pré-req dos Amb'!E26 * -540.0450775</f>
        <v>#DIV/0!</v>
      </c>
      <c r="BF21" s="240" t="e">
        <f>IF(BE21&lt;ESCALAS!$G$5, "A", IF(BE21&lt;ESCALAS!$G$6,"B", IF(BE21&lt;ESCALAS!$G$7, "C", IF(BE21&lt;ESCALAS!$G$8, "D", IF(BE21&gt;ESCALAS!$G$8, "E", "")))))</f>
        <v>#DIV/0!</v>
      </c>
    </row>
    <row r="22" spans="2:58" x14ac:dyDescent="0.2">
      <c r="B22" s="400"/>
      <c r="C22" s="104" t="s">
        <v>228</v>
      </c>
      <c r="D22" s="83">
        <v>2</v>
      </c>
      <c r="E22" s="284">
        <v>2</v>
      </c>
      <c r="F22" s="295" t="e">
        <f>IF('Envoltória e Pré-req dos Amb'!$E$10="ZB1",O22,IF('Envoltória e Pré-req dos Amb'!$E$10="ZB2",W22,IF('Envoltória e Pré-req dos Amb'!$E$10="ZB3",AE22,IF('Envoltória e Pré-req dos Amb'!$E$10="ZB4",AM22,IF('Envoltória e Pré-req dos Amb'!$E$10="ZB5",AU22,IF('Envoltória e Pré-req dos Amb'!$E$10="ZB6",AY22,IF('Envoltória e Pré-req dos Amb'!$E$10="ZB7",BC22,IF('Envoltória e Pré-req dos Amb'!$E$10="ZB8",AU22,"Escolha uma ZB"))))))))</f>
        <v>#DIV/0!</v>
      </c>
      <c r="G22" s="265" t="e">
        <f>IF('Envoltória e Pré-req dos Amb'!$E$10="ZB1",P22,IF('Envoltória e Pré-req dos Amb'!$E$10="ZB2",X22,IF('Envoltória e Pré-req dos Amb'!$E$10="ZB3",AF22,IF('Envoltória e Pré-req dos Amb'!$E$10="ZB4",AN22,IF('Envoltória e Pré-req dos Amb'!$E$10="ZB5",AV22,IF('Envoltória e Pré-req dos Amb'!$E$10="ZB6",AZ22,IF('Envoltória e Pré-req dos Amb'!$E$10="ZB7",BD22,IF('Envoltória e Pré-req dos Amb'!$E$10="ZB8",AV22,"Escolha uma ZB"))))))))</f>
        <v>#DIV/0!</v>
      </c>
      <c r="H22" s="301" t="e">
        <f>IF('Envoltória e Pré-req dos Amb'!$E$10="ZB1",Q22,IF('Envoltória e Pré-req dos Amb'!$E$10="ZB2",Y22,IF('Envoltória e Pré-req dos Amb'!$E$10="ZB3",AG22,IF('Envoltória e Pré-req dos Amb'!$E$10="ZB4",AO22,IF('Envoltória e Pré-req dos Amb'!$E$10="ZB5",AW22,IF('Envoltória e Pré-req dos Amb'!$E$10="ZB6",BA22,IF('Envoltória e Pré-req dos Amb'!$E$10="ZB7",BE22,IF('Envoltória e Pré-req dos Amb'!$E$10="ZB8",AW22,"Escolha uma ZB"))))))))</f>
        <v>#DIV/0!</v>
      </c>
      <c r="I22" s="259" t="e">
        <f>IF('Envoltória e Pré-req dos Amb'!$E$10="ZB1",R22,IF('Envoltória e Pré-req dos Amb'!$E$10="ZB2",Z22,IF('Envoltória e Pré-req dos Amb'!$E$10="ZB3",AH22,IF('Envoltória e Pré-req dos Amb'!$E$10="ZB4",AP22,IF('Envoltória e Pré-req dos Amb'!$E$10="ZB5",AX22,IF('Envoltória e Pré-req dos Amb'!$E$10="ZB6",BB22,IF('Envoltória e Pré-req dos Amb'!$E$10="ZB7",BF22,IF('Envoltória e Pré-req dos Amb'!$E$10="ZB8",AX22,"Escolha uma ZB"))))))))</f>
        <v>#DIV/0!</v>
      </c>
      <c r="J22" s="308" t="e">
        <f>IF('Envoltória e Pré-req dos Amb'!$E$10="ZB1",S22,IF('Envoltória e Pré-req dos Amb'!$E$10="ZB2",AA22,IF('Envoltória e Pré-req dos Amb'!$E$10="ZB3",AI22,IF('Envoltória e Pré-req dos Amb'!$E$10="ZB4",AQ22,IF('Envoltória e Pré-req dos Amb'!$E$10="ZB5",0,IF('Envoltória e Pré-req dos Amb'!$E$10="ZB6",0,IF('Envoltória e Pré-req dos Amb'!$E$10="ZB7",0,IF('Envoltória e Pré-req dos Amb'!$E$10="ZB8",0,"Escolha uma ZB"))))))))</f>
        <v>#DIV/0!</v>
      </c>
      <c r="K22" s="265" t="e">
        <f>IF('Envoltória e Pré-req dos Amb'!$E$10="ZB1",T22,IF('Envoltória e Pré-req dos Amb'!$E$10="ZB2",AB22,IF('Envoltória e Pré-req dos Amb'!$E$10="ZB3",AJ22,IF('Envoltória e Pré-req dos Amb'!$E$10="ZB4",AR22,IF('Envoltória e Pré-req dos Amb'!$E$10="ZB5","Não se aplica",IF('Envoltória e Pré-req dos Amb'!$E$10="ZB6","Não se aplica",IF('Envoltória e Pré-req dos Amb'!$E$10="ZB7","Não se aplica",IF('Envoltória e Pré-req dos Amb'!$E$10="ZB8","Não se aplica","Escolha uma ZB"))))))))</f>
        <v>#DIV/0!</v>
      </c>
      <c r="L22" s="312" t="e">
        <f>IF('Envoltória e Pré-req dos Amb'!$E$10="ZB1",U22,IF('Envoltória e Pré-req dos Amb'!$E$10="ZB2",AC22,IF('Envoltória e Pré-req dos Amb'!$E$10="ZB3",AK22,IF('Envoltória e Pré-req dos Amb'!$E$10="ZB4",AS22,IF('Envoltória e Pré-req dos Amb'!$E$10="ZB5",0,IF('Envoltória e Pré-req dos Amb'!$E$10="ZB6",0,IF('Envoltória e Pré-req dos Amb'!$E$10="ZB7",0,IF('Envoltória e Pré-req dos Amb'!$E$10="ZB8",0,"Escolha uma ZB"))))))))</f>
        <v>#DIV/0!</v>
      </c>
      <c r="M22" s="260" t="e">
        <f>IF('Envoltória e Pré-req dos Amb'!$E$10="ZB1",V22,IF('Envoltória e Pré-req dos Amb'!$E$10="ZB2",AD22,IF('Envoltória e Pré-req dos Amb'!$E$10="ZB3",AL22,IF('Envoltória e Pré-req dos Amb'!$E$10="ZB4",AT22,IF('Envoltória e Pré-req dos Amb'!$E$10="ZB5","Não se aplica",IF('Envoltória e Pré-req dos Amb'!$E$10="ZB6","Não se aplica",IF('Envoltória e Pré-req dos Amb'!$E$10="ZB7","Não se aplica",IF('Envoltória e Pré-req dos Amb'!$E$10="ZB8","Não se aplica","Escolha uma ZB"))))))))</f>
        <v>#DIV/0!</v>
      </c>
      <c r="N22" s="230"/>
      <c r="O22"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 + E22)+'Envoltória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 + E22)*'Envoltória e Pré-req dos Amb'!E19*'Envoltória e Pré-req dos Amb'!E21 * 2.459633866 + ('Envoltória e Pré-req dos Amb'!E26 + E22)*'Envoltória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22" s="238" t="e">
        <f>IF(O22&lt;ESCALAS!$B$5, "A", IF(O22&lt;ESCALAS!$B$6,"B", IF(O22&lt;ESCALAS!$B$7, "C", IF(O22&lt;ESCALAS!$B$8, "D", IF(O22&gt;ESCALAS!$B$8, "E", "")))))</f>
        <v>#DIV/0!</v>
      </c>
      <c r="Q22"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Amb'!E26 - E22)+'Envoltória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Amb'!E26 - E22)*'Envoltória e Pré-req dos Amb'!E19*'Envoltória e Pré-req dos Amb'!E21 * 2.459633866 + ('Envoltória e Pré-req dos Amb'!E26 - E22)*'Envoltória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22" s="240" t="e">
        <f>IF(Q22&lt;ESCALAS!$B$5, "A", IF(Q22&lt;ESCALAS!$B$6,"B", IF(Q22&lt;ESCALAS!$B$7, "C", IF(Q22&lt;ESCALAS!$B$8, "D", IF(Q22&gt;ESCALAS!$B$8, "E", "")))))</f>
        <v>#DIV/0!</v>
      </c>
      <c r="S22"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 + E22)+'Envoltória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 + E22)+'Envoltória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 + E22)+'Envoltória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 + E22)*'Envoltória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22" s="239" t="e">
        <f>IF(S22&lt;ESCALAS!$B$25, "A", IF(S22&lt;ESCALAS!$B$26,"B", IF(S22&lt;ESCALAS!$B$27, "C", IF(S22&lt;ESCALAS!$B$28, "D", IF(S22&gt;ESCALAS!$B$28, "E", "")))))</f>
        <v>#DIV/0!</v>
      </c>
      <c r="U22"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Amb'!E26 - E22)+'Envoltória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Amb'!E26 - E22)+'Envoltória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Amb'!E26 - E22)+'Envoltória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Amb'!E26 - E22)*'Envoltória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22" s="271" t="e">
        <f>IF(U22&lt;ESCALAS!$B$25, "A", IF(U22&lt;ESCALAS!$B$26,"B", IF(U22&lt;ESCALAS!$B$27, "C", IF(U22&lt;ESCALAS!$B$28, "D", IF(U22&gt;ESCALAS!$B$28, "E", "")))))</f>
        <v>#DIV/0!</v>
      </c>
      <c r="W22"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 E22)+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 E22)*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 E22)+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22" s="238" t="e">
        <f>IF(W22&lt;ESCALAS!$C$5, "A", IF(W22&lt;ESCALAS!$C$6,"B", IF(W22&lt;ESCALAS!$C$7, "C", IF(W22&lt;ESCALAS!$C$8, "D", IF(W22&gt;ESCALAS!$C$8, "E", "")))))</f>
        <v>#DIV/0!</v>
      </c>
      <c r="Y22"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 E22)+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 E22)*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 E22)+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22" s="240" t="e">
        <f>IF(Y22&lt;ESCALAS!$C$5, "A", IF(Y22&lt;ESCALAS!$C$6,"B", IF(Y22&lt;ESCALAS!$C$7, "C", IF(Y22&lt;ESCALAS!$C$8, "D", IF(Y22&gt;ESCALAS!$C$8, "E", "")))))</f>
        <v>#DIV/0!</v>
      </c>
      <c r="AA22"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 E22)+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 E22)+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 E22)+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 E22)*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22" s="239" t="e">
        <f>IF(AA22&lt;ESCALAS!$C$25, "A", IF(AA22&lt;ESCALAS!$C$26,"B", IF(AA22&lt;ESCALAS!$C$27, "C", IF(AA22&lt;ESCALAS!$C$28, "D", IF(AA22&gt;ESCALAS!$C$28, "E", "")))))</f>
        <v>#DIV/0!</v>
      </c>
      <c r="AC22"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 E22)+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 E22)+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 E22)+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 E22)*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22" s="271" t="e">
        <f>IF(AC22&lt;ESCALAS!$C$25, "A", IF(AC22&lt;ESCALAS!$C$26,"B", IF(AC22&lt;ESCALAS!$C$27, "C", IF(AC22&lt;ESCALAS!$C$28, "D", IF(AC22&gt;ESCALAS!$C$28, "E", "")))))</f>
        <v>#DIV/0!</v>
      </c>
      <c r="AE22"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 E22)*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 E22)+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 + E22)=0,0,1)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22" s="238" t="e">
        <f>IF(AE22&lt;ESCALAS!$D$5, "A", IF(AE22&lt;ESCALAS!$D$6,"B", IF(AE22&lt;ESCALAS!$D$7, "C", IF(AE22&lt;ESCALAS!$D$8, "D", IF(AE22&gt;ESCALAS!$D$8, "E", "")))))</f>
        <v>#DIV/0!</v>
      </c>
      <c r="AG22"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 E22)*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 E22)+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Amb'!E26 - E22)=0,0,1)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22" s="240" t="e">
        <f>IF(AG22&lt;ESCALAS!$D$5, "A", IF(AG22&lt;ESCALAS!$D$6,"B", IF(AG22&lt;ESCALAS!$D$7, "C", IF(AG22&lt;ESCALAS!$D$8, "D", IF(AG22&gt;ESCALAS!$D$8, "E", "")))))</f>
        <v>#DIV/0!</v>
      </c>
      <c r="AI22"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 E22)+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 E22)+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22" s="239" t="e">
        <f>IF(AI22&lt;ESCALAS!$D$25, "A", IF(AI22&lt;ESCALAS!$D$26,"B", IF(AI22&lt;ESCALAS!$D$27, "C", IF(AI22&lt;ESCALAS!$D$28, "D", IF(AI22&gt;ESCALAS!$D$28, "E", "")))))</f>
        <v>#DIV/0!</v>
      </c>
      <c r="AK22"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 E22)+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 E22)+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22" s="271" t="e">
        <f>IF(AK22&lt;ESCALAS!$D$25, "A", IF(AK22&lt;ESCALAS!$D$26,"B", IF(AK22&lt;ESCALAS!$D$27, "C", IF(AK22&lt;ESCALAS!$D$28, "D", IF(AK22&gt;ESCALAS!$D$28, "E", "")))))</f>
        <v>#DIV/0!</v>
      </c>
      <c r="AM22"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 E22)+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 E22)*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 + E22)=0,0,1)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 E22)+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22" s="238" t="e">
        <f>IF(AM22&lt;ESCALAS!$E$5, "A", IF(AM22&lt;ESCALAS!$E$6,"B", IF(AM22&lt;ESCALAS!$E$7, "C", IF(AM22&lt;ESCALAS!$E$8, "D", IF(AM22&gt;ESCALAS!$E$8, "E", "")))))</f>
        <v>#DIV/0!</v>
      </c>
      <c r="AO22"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 E22)+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 E22)*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Amb'!E26 - E22)=0,0,1)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 E22)+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22" s="240" t="e">
        <f>IF(AO22&lt;ESCALAS!$E$5, "A", IF(AO22&lt;ESCALAS!$E$6,"B", IF(AO22&lt;ESCALAS!$E$7, "C", IF(AO22&lt;ESCALAS!$E$8, "D", IF(AO22&gt;ESCALAS!$E$8, "E", "")))))</f>
        <v>#DIV/0!</v>
      </c>
      <c r="AQ22"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 E22)+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 E22)+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-0.28609110513999997</v>
      </c>
      <c r="AR22" s="239" t="str">
        <f>IF(AQ22&lt;ESCALAS!$E$25, "A", IF(AQ22&lt;ESCALAS!$E$26,"B", IF(AQ22&lt;ESCALAS!$E$27, "C", IF(AQ22&lt;ESCALAS!$E$28, "D", IF(AQ22&gt;ESCALAS!$E$28, "E", "")))))</f>
        <v>A</v>
      </c>
      <c r="AS22"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 E22)+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 E22)+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-0.48225195966000001</v>
      </c>
      <c r="AT22" s="271" t="str">
        <f>IF(AS22&lt;ESCALAS!$E$25, "A", IF(AS22&lt;ESCALAS!$E$26,"B", IF(AS22&lt;ESCALAS!$E$27, "C", IF(AS22&lt;ESCALAS!$E$28, "D", IF(AS22&gt;ESCALAS!$E$28, "E", "")))))</f>
        <v>A</v>
      </c>
      <c r="AU22"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 E22)*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 + E22)=0,0,1)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 E22)+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 E22)*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22" s="238" t="e">
        <f>IF(AU22&lt;ESCALAS!$H$5, "A", IF(AU22&lt;ESCALAS!$H$6,"B", IF(AU22&lt;ESCALAS!$H$7, "C", IF(AU22&lt;ESCALAS!$H$8, "D", IF(AU22&gt;ESCALAS!$H$8, "E", "")))))</f>
        <v>#DIV/0!</v>
      </c>
      <c r="AW22"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 E22)*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Amb'!E26 - E22)=0,0,1)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 E22)+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 E22)*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22" s="240" t="e">
        <f>IF(AW22&lt;ESCALAS!$H$5, "A", IF(AW22&lt;ESCALAS!$H$6,"B", IF(AW22&lt;ESCALAS!$H$7, "C", IF(AW22&lt;ESCALAS!$H$8, "D", IF(AW22&gt;ESCALAS!$H$8, "E", "")))))</f>
        <v>#DIV/0!</v>
      </c>
      <c r="AY22"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 E22)+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 + E22)=0,0,1)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 E22)*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22" s="238" t="e">
        <f>IF(AY22&lt;ESCALAS!$F$5, "A", IF(AY22&lt;ESCALAS!$F$6,"B", IF(AY22&lt;ESCALAS!$F$7, "C", IF(AY22&lt;ESCALAS!$F$8, "D", IF(AY22&gt;ESCALAS!$F$8, "E", "")))))</f>
        <v>#DIV/0!</v>
      </c>
      <c r="BA22"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 E22)+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Amb'!E26 - E22)=0,0,1)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 E22)*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22" s="240" t="e">
        <f>IF(BA22&lt;ESCALAS!$F$5, "A", IF(BA22&lt;ESCALAS!$F$6,"B", IF(BA22&lt;ESCALAS!$F$7, "C", IF(BA22&lt;ESCALAS!$F$8, "D", IF(BA22&gt;ESCALAS!$F$8, "E", "")))))</f>
        <v>#DIV/0!</v>
      </c>
      <c r="BC22"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 E22)+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 E22)*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 E22)+ 'Envoltória e Pré-req dos Amb'!E27) * -5.194387731 + IF( ('Envoltória e Pré-req dos Amb'!E26 + E22)=0,0,1)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 E22)+ 'Envoltória e Pré-req dos Amb'!E27)* 'Envoltória e Pré-req dos Amb'!E20 * -0.022638015 +  'Envoltória e Pré-req dos Amb'!E27* 'Envoltória e Pré-req dos Amb'!E19 * -279.5554246 +  ('Envoltória e Pré-req dos Amb'!E26 + E22) * -540.0450775</f>
        <v>#DIV/0!</v>
      </c>
      <c r="BD22" s="238" t="e">
        <f>IF(BC22&lt;ESCALAS!$G$5, "A", IF(BC22&lt;ESCALAS!$G$6,"B", IF(BC22&lt;ESCALAS!$G$7, "C", IF(BC22&lt;ESCALAS!$G$8, "D", IF(BC22&gt;ESCALAS!$G$8, "E", "")))))</f>
        <v>#DIV/0!</v>
      </c>
      <c r="BE22"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 E22)+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 E22)*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 E22)+ 'Envoltória e Pré-req dos Amb'!E27) * -5.194387731 + IF( ('Envoltória e Pré-req dos Amb'!E26 - E22)=0,0,1)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 E22)+ 'Envoltória e Pré-req dos Amb'!E27)* 'Envoltória e Pré-req dos Amb'!E20 * -0.022638015 +  'Envoltória e Pré-req dos Amb'!E27* 'Envoltória e Pré-req dos Amb'!E19 * -279.5554246 +  ('Envoltória e Pré-req dos Amb'!E26 - E22) * -540.0450775</f>
        <v>#DIV/0!</v>
      </c>
      <c r="BF22" s="240" t="e">
        <f>IF(BE22&lt;ESCALAS!$G$5, "A", IF(BE22&lt;ESCALAS!$G$6,"B", IF(BE22&lt;ESCALAS!$G$7, "C", IF(BE22&lt;ESCALAS!$G$8, "D", IF(BE22&gt;ESCALAS!$G$8, "E", "")))))</f>
        <v>#DIV/0!</v>
      </c>
    </row>
    <row r="23" spans="2:58" ht="13.5" thickBot="1" x14ac:dyDescent="0.25">
      <c r="B23" s="401"/>
      <c r="C23" s="102" t="s">
        <v>229</v>
      </c>
      <c r="D23" s="84">
        <v>2</v>
      </c>
      <c r="E23" s="285">
        <v>2</v>
      </c>
      <c r="F23" s="296" t="e">
        <f>IF('Envoltória e Pré-req dos Amb'!$E$10="ZB1",O23,IF('Envoltória e Pré-req dos Amb'!$E$10="ZB2",W23,IF('Envoltória e Pré-req dos Amb'!$E$10="ZB3",AE23,IF('Envoltória e Pré-req dos Amb'!$E$10="ZB4",AM23,IF('Envoltória e Pré-req dos Amb'!$E$10="ZB5",AU23,IF('Envoltória e Pré-req dos Amb'!$E$10="ZB6",AY23,IF('Envoltória e Pré-req dos Amb'!$E$10="ZB7",BC23,IF('Envoltória e Pré-req dos Amb'!$E$10="ZB8",AU23,"Escolha uma ZB"))))))))</f>
        <v>#DIV/0!</v>
      </c>
      <c r="G23" s="266" t="e">
        <f>IF('Envoltória e Pré-req dos Amb'!$E$10="ZB1",P23,IF('Envoltória e Pré-req dos Amb'!$E$10="ZB2",X23,IF('Envoltória e Pré-req dos Amb'!$E$10="ZB3",AF23,IF('Envoltória e Pré-req dos Amb'!$E$10="ZB4",AN23,IF('Envoltória e Pré-req dos Amb'!$E$10="ZB5",AV23,IF('Envoltória e Pré-req dos Amb'!$E$10="ZB6",AZ23,IF('Envoltória e Pré-req dos Amb'!$E$10="ZB7",BD23,IF('Envoltória e Pré-req dos Amb'!$E$10="ZB8",AV23,"Escolha uma ZB"))))))))</f>
        <v>#DIV/0!</v>
      </c>
      <c r="H23" s="302" t="e">
        <f>IF('Envoltória e Pré-req dos Amb'!$E$10="ZB1",Q23,IF('Envoltória e Pré-req dos Amb'!$E$10="ZB2",Y23,IF('Envoltória e Pré-req dos Amb'!$E$10="ZB3",AG23,IF('Envoltória e Pré-req dos Amb'!$E$10="ZB4",AO23,IF('Envoltória e Pré-req dos Amb'!$E$10="ZB5",AW23,IF('Envoltória e Pré-req dos Amb'!$E$10="ZB6",BA23,IF('Envoltória e Pré-req dos Amb'!$E$10="ZB7",BE23,IF('Envoltória e Pré-req dos Amb'!$E$10="ZB8",AW23,"Escolha uma ZB"))))))))</f>
        <v>#DIV/0!</v>
      </c>
      <c r="I23" s="261" t="e">
        <f>IF('Envoltória e Pré-req dos Amb'!$E$10="ZB1",R23,IF('Envoltória e Pré-req dos Amb'!$E$10="ZB2",Z23,IF('Envoltória e Pré-req dos Amb'!$E$10="ZB3",AH23,IF('Envoltória e Pré-req dos Amb'!$E$10="ZB4",AP23,IF('Envoltória e Pré-req dos Amb'!$E$10="ZB5",AX23,IF('Envoltória e Pré-req dos Amb'!$E$10="ZB6",BB23,IF('Envoltória e Pré-req dos Amb'!$E$10="ZB7",BF23,IF('Envoltória e Pré-req dos Amb'!$E$10="ZB8",AX23,"Escolha uma ZB"))))))))</f>
        <v>#DIV/0!</v>
      </c>
      <c r="J23" s="309" t="e">
        <f>IF('Envoltória e Pré-req dos Amb'!$E$10="ZB1",S23,IF('Envoltória e Pré-req dos Amb'!$E$10="ZB2",AA23,IF('Envoltória e Pré-req dos Amb'!$E$10="ZB3",AI23,IF('Envoltória e Pré-req dos Amb'!$E$10="ZB4",AQ23,IF('Envoltória e Pré-req dos Amb'!$E$10="ZB5",0,IF('Envoltória e Pré-req dos Amb'!$E$10="ZB6",0,IF('Envoltória e Pré-req dos Amb'!$E$10="ZB7",0,IF('Envoltória e Pré-req dos Amb'!$E$10="ZB8",0,"Escolha uma ZB"))))))))</f>
        <v>#DIV/0!</v>
      </c>
      <c r="K23" s="266" t="e">
        <f>IF('Envoltória e Pré-req dos Amb'!$E$10="ZB1",T23,IF('Envoltória e Pré-req dos Amb'!$E$10="ZB2",AB23,IF('Envoltória e Pré-req dos Amb'!$E$10="ZB3",AJ23,IF('Envoltória e Pré-req dos Amb'!$E$10="ZB4",AR23,IF('Envoltória e Pré-req dos Amb'!$E$10="ZB5","Não se aplica",IF('Envoltória e Pré-req dos Amb'!$E$10="ZB6","Não se aplica",IF('Envoltória e Pré-req dos Amb'!$E$10="ZB7","Não se aplica",IF('Envoltória e Pré-req dos Amb'!$E$10="ZB8","Não se aplica","Escolha uma ZB"))))))))</f>
        <v>#DIV/0!</v>
      </c>
      <c r="L23" s="313" t="e">
        <f>IF('Envoltória e Pré-req dos Amb'!$E$10="ZB1",U23,IF('Envoltória e Pré-req dos Amb'!$E$10="ZB2",AC23,IF('Envoltória e Pré-req dos Amb'!$E$10="ZB3",AK23,IF('Envoltória e Pré-req dos Amb'!$E$10="ZB4",AS23,IF('Envoltória e Pré-req dos Amb'!$E$10="ZB5",0,IF('Envoltória e Pré-req dos Amb'!$E$10="ZB6",0,IF('Envoltória e Pré-req dos Amb'!$E$10="ZB7",0,IF('Envoltória e Pré-req dos Amb'!$E$10="ZB8",0,"Escolha uma ZB"))))))))</f>
        <v>#DIV/0!</v>
      </c>
      <c r="M23" s="262" t="e">
        <f>IF('Envoltória e Pré-req dos Amb'!$E$10="ZB1",V23,IF('Envoltória e Pré-req dos Amb'!$E$10="ZB2",AD23,IF('Envoltória e Pré-req dos Amb'!$E$10="ZB3",AL23,IF('Envoltória e Pré-req dos Amb'!$E$10="ZB4",AT23,IF('Envoltória e Pré-req dos Amb'!$E$10="ZB5","Não se aplica",IF('Envoltória e Pré-req dos Amb'!$E$10="ZB6","Não se aplica",IF('Envoltória e Pré-req dos Amb'!$E$10="ZB7","Não se aplica",IF('Envoltória e Pré-req dos Amb'!$E$10="ZB8","Não se aplica","Escolha uma ZB"))))))))</f>
        <v>#DIV/0!</v>
      </c>
      <c r="N23" s="230"/>
      <c r="O23"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E23))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 + E23)*'Envoltória e Pré-req dos Amb'!E19*'Envoltória e Pré-req dos Amb'!E21 * 1.774450991 + ('Envoltória e Pré-req dos Amb'!E27 + E23)*'Envoltória e Pré-req dos Amb'!E19 * -0.767798836 + IF('Envoltória e Pré-req dos Amb'!E24=0,0,1) * 22.10773117 + IF('Envoltória e Pré-req dos Amb'!E28=0,0,1) * -15.78410342</f>
        <v>#DIV/0!</v>
      </c>
      <c r="P23" s="238" t="e">
        <f>IF(O23&lt;ESCALAS!$B$5, "A", IF(O23&lt;ESCALAS!$B$6,"B", IF(O23&lt;ESCALAS!$B$7, "C", IF(O23&lt;ESCALAS!$B$8, "D", IF(O23&gt;ESCALAS!$B$8, "E", "")))))</f>
        <v>#DIV/0!</v>
      </c>
      <c r="Q23"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E23))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Amb'!E27 - E23)*'Envoltória e Pré-req dos Amb'!E19*'Envoltória e Pré-req dos Amb'!E21 * 1.774450991 + ('Envoltória e Pré-req dos Amb'!E27 - E23)*'Envoltória e Pré-req dos Amb'!E19 * -0.767798836 + IF('Envoltória e Pré-req dos Amb'!E24=0,0,1) * 22.10773117 + IF('Envoltória e Pré-req dos Amb'!E28=0,0,1) * -15.78410342</f>
        <v>#DIV/0!</v>
      </c>
      <c r="R23" s="240" t="e">
        <f>IF(Q23&lt;ESCALAS!$B$5, "A", IF(Q23&lt;ESCALAS!$B$6,"B", IF(Q23&lt;ESCALAS!$B$7, "C", IF(Q23&lt;ESCALAS!$B$8, "D", IF(Q23&gt;ESCALAS!$B$8, "E", "")))))</f>
        <v>#DIV/0!</v>
      </c>
      <c r="S23"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E23))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 + E23))*'Envoltória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E23))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 + E23)*'Envoltória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23" s="239" t="e">
        <f>IF(S23&lt;ESCALAS!$B$25, "A", IF(S23&lt;ESCALAS!$B$26,"B", IF(S23&lt;ESCALAS!$B$27, "C", IF(S23&lt;ESCALAS!$B$28, "D", IF(S23&gt;ESCALAS!$B$28, "E", "")))))</f>
        <v>#DIV/0!</v>
      </c>
      <c r="U23"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E23))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Amb'!E27 - E23))*'Envoltória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E23))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Amb'!E27 - E23)*'Envoltória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23" s="271" t="e">
        <f>IF(U23&lt;ESCALAS!$B$25, "A", IF(U23&lt;ESCALAS!$B$26,"B", IF(U23&lt;ESCALAS!$B$27, "C", IF(U23&lt;ESCALAS!$B$28, "D", IF(U23&gt;ESCALAS!$B$28, "E", "")))))</f>
        <v>#DIV/0!</v>
      </c>
      <c r="W23"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E23))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 E23)*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E23))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 + E23)=0,0,1) * 1010.646464 +  ('Envoltória e Pré-req dos Amb'!E27 + E23) * -58.40278041 + IF( 'Envoltória e Pré-req dos Amb'!E31=0,0,1) * -441.3903064</f>
        <v>#DIV/0!</v>
      </c>
      <c r="X23" s="238" t="e">
        <f>IF(W23&lt;ESCALAS!$C$5, "A", IF(W23&lt;ESCALAS!$C$6,"B", IF(W23&lt;ESCALAS!$C$7, "C", IF(W23&lt;ESCALAS!$C$8, "D", IF(W23&gt;ESCALAS!$C$8, "E", "")))))</f>
        <v>#DIV/0!</v>
      </c>
      <c r="Y23"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E23))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 E23)*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E23))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Amb'!E27 - E23)=0,0,1) * 1010.646464 +  ('Envoltória e Pré-req dos Amb'!E27 - E23) * -58.40278041 + IF( 'Envoltória e Pré-req dos Amb'!E31=0,0,1) * -441.3903064</f>
        <v>#DIV/0!</v>
      </c>
      <c r="Z23" s="240" t="e">
        <f>IF(Y23&lt;ESCALAS!$C$5, "A", IF(Y23&lt;ESCALAS!$C$6,"B", IF(Y23&lt;ESCALAS!$C$7, "C", IF(Y23&lt;ESCALAS!$C$8, "D", IF(Y23&gt;ESCALAS!$C$8, "E", "")))))</f>
        <v>#DIV/0!</v>
      </c>
      <c r="AA23"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E23))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 E23))*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E23))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 E23)* 'Envoltória e Pré-req dos Amb'!E21 * -3773 +  'Envoltória e Pré-req dos Amb'!E29* 'Envoltória e Pré-req dos Amb'!E33 * -7024 +  'Envoltória e Pré-req dos Amb'!E29*IMABS( 'Envoltória e Pré-req dos Amb'!E33-1) * -3591)/1000)/ 'Envoltória e Pré-req dos Amb'!E12</f>
        <v>#DIV/0!</v>
      </c>
      <c r="AB23" s="239" t="e">
        <f>IF(AA23&lt;ESCALAS!$C$25, "A", IF(AA23&lt;ESCALAS!$C$26,"B", IF(AA23&lt;ESCALAS!$C$27, "C", IF(AA23&lt;ESCALAS!$C$28, "D", IF(AA23&gt;ESCALAS!$C$28, "E", "")))))</f>
        <v>#DIV/0!</v>
      </c>
      <c r="AC23"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E23))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 E23))*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E23))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 E23)* 'Envoltória e Pré-req dos Amb'!E21 * -3773 +  'Envoltória e Pré-req dos Amb'!E29* 'Envoltória e Pré-req dos Amb'!E33 * -7024 +  'Envoltória e Pré-req dos Amb'!E29*IMABS( 'Envoltória e Pré-req dos Amb'!E33-1) * -3591)/1000)/ 'Envoltória e Pré-req dos Amb'!E12</f>
        <v>#DIV/0!</v>
      </c>
      <c r="AD23" s="271" t="e">
        <f>IF(AC23&lt;ESCALAS!$C$25, "A", IF(AC23&lt;ESCALAS!$C$26,"B", IF(AC23&lt;ESCALAS!$C$27, "C", IF(AC23&lt;ESCALAS!$C$28, "D", IF(AC23&gt;ESCALAS!$C$28, "E", "")))))</f>
        <v>#DIV/0!</v>
      </c>
      <c r="AE23"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E23))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 + E23)=0,0,1)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 E23)* 'Envoltória e Pré-req dos Amb'!E19* 'Envoltória e Pré-req dos Amb'!E21 * 15.3350994 +  'Envoltória e Pré-req dos Amb'!E25 * 26.09247753 +  'Envoltória e Pré-req dos Amb'!E28*IMABS( 'Envoltória e Pré-req dos Amb'!E33-1) * -34.77773789</f>
        <v>#DIV/0!</v>
      </c>
      <c r="AF23" s="238" t="e">
        <f>IF(AE23&lt;ESCALAS!$D$5, "A", IF(AE23&lt;ESCALAS!$D$6,"B", IF(AE23&lt;ESCALAS!$D$7, "C", IF(AE23&lt;ESCALAS!$D$8, "D", IF(AE23&gt;ESCALAS!$D$8, "E", "")))))</f>
        <v>#DIV/0!</v>
      </c>
      <c r="AG23"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E23))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Amb'!E27 - E23)=0,0,1)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 E23)* 'Envoltória e Pré-req dos Amb'!E19* 'Envoltória e Pré-req dos Amb'!E21 * 15.3350994 +  'Envoltória e Pré-req dos Amb'!E25 * 26.09247753 +  'Envoltória e Pré-req dos Amb'!E28*IMABS( 'Envoltória e Pré-req dos Amb'!E33-1) * -34.77773789</f>
        <v>#DIV/0!</v>
      </c>
      <c r="AH23" s="240" t="e">
        <f>IF(AG23&lt;ESCALAS!$D$5, "A", IF(AG23&lt;ESCALAS!$D$6,"B", IF(AG23&lt;ESCALAS!$D$7, "C", IF(AG23&lt;ESCALAS!$D$8, "D", IF(AG23&gt;ESCALAS!$D$8, "E", "")))))</f>
        <v>#DIV/0!</v>
      </c>
      <c r="AI23"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E23))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 E23))*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23" s="239" t="e">
        <f>IF(AI23&lt;ESCALAS!$D$25, "A", IF(AI23&lt;ESCALAS!$D$26,"B", IF(AI23&lt;ESCALAS!$D$27, "C", IF(AI23&lt;ESCALAS!$D$28, "D", IF(AI23&gt;ESCALAS!$D$28, "E", "")))))</f>
        <v>#DIV/0!</v>
      </c>
      <c r="AK23"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E23))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 E23))*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23" s="271" t="e">
        <f>IF(AK23&lt;ESCALAS!$D$25, "A", IF(AK23&lt;ESCALAS!$D$26,"B", IF(AK23&lt;ESCALAS!$D$27, "C", IF(AK23&lt;ESCALAS!$D$28, "D", IF(AK23&gt;ESCALAS!$D$28, "E", "")))))</f>
        <v>#DIV/0!</v>
      </c>
      <c r="AM23"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E23))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 + E23)=0,0,1)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E23)) * 0.812970166 +  'Envoltória e Pré-req dos Amb'!E19 * -177.010526 +  'Envoltória e Pré-req dos Amb'!E23 * 101.9693559 +  'Envoltória e Pré-req dos Amb'!E28* 'Envoltória e Pré-req dos Amb'!E33 * 16.689804 +  'Envoltória e Pré-req dos Amb'!E25 * 26.97532108 +  ('Envoltória e Pré-req dos Amb'!E27 + E23)* 'Envoltória e Pré-req dos Amb'!E19* 'Envoltória e Pré-req dos Amb'!E21 * 8.355821307 +  'Envoltória e Pré-req dos Amb'!E30*IMABS( 'Envoltória e Pré-req dos Amb'!E33-1) * -13.36922974</f>
        <v>#DIV/0!</v>
      </c>
      <c r="AN23" s="238" t="e">
        <f>IF(AM23&lt;ESCALAS!$E$5, "A", IF(AM23&lt;ESCALAS!$E$6,"B", IF(AM23&lt;ESCALAS!$E$7, "C", IF(AM23&lt;ESCALAS!$E$8, "D", IF(AM23&gt;ESCALAS!$E$8, "E", "")))))</f>
        <v>#DIV/0!</v>
      </c>
      <c r="AO23"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E23))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Amb'!E27 - E23)=0,0,1)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E23)) * 0.812970166 +  'Envoltória e Pré-req dos Amb'!E19 * -177.010526 +  'Envoltória e Pré-req dos Amb'!E23 * 101.9693559 +  'Envoltória e Pré-req dos Amb'!E28* 'Envoltória e Pré-req dos Amb'!E33 * 16.689804 +  'Envoltória e Pré-req dos Amb'!E25 * 26.97532108 +  ('Envoltória e Pré-req dos Amb'!E27 - E23)* 'Envoltória e Pré-req dos Amb'!E19* 'Envoltória e Pré-req dos Amb'!E21 * 8.355821307 +  'Envoltória e Pré-req dos Amb'!E30*IMABS( 'Envoltória e Pré-req dos Amb'!E33-1) * -13.36922974</f>
        <v>#DIV/0!</v>
      </c>
      <c r="AP23" s="240" t="e">
        <f>IF(AO23&lt;ESCALAS!$E$5, "A", IF(AO23&lt;ESCALAS!$E$6,"B", IF(AO23&lt;ESCALAS!$E$7, "C", IF(AO23&lt;ESCALAS!$E$8, "D", IF(AO23&gt;ESCALAS!$E$8, "E", "")))))</f>
        <v>#DIV/0!</v>
      </c>
      <c r="AQ23"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E23))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 E23))*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-0.28609110513999997</v>
      </c>
      <c r="AR23" s="239" t="str">
        <f>IF(AQ23&lt;ESCALAS!$E$25, "A", IF(AQ23&lt;ESCALAS!$E$26,"B", IF(AQ23&lt;ESCALAS!$E$27, "C", IF(AQ23&lt;ESCALAS!$E$28, "D", IF(AQ23&gt;ESCALAS!$E$28, "E", "")))))</f>
        <v>A</v>
      </c>
      <c r="AS23"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E23))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 E23))*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-0.48225195966000001</v>
      </c>
      <c r="AT23" s="271" t="str">
        <f>IF(AS23&lt;ESCALAS!$E$25, "A", IF(AS23&lt;ESCALAS!$E$26,"B", IF(AS23&lt;ESCALAS!$E$27, "C", IF(AS23&lt;ESCALAS!$E$28, "D", IF(AS23&gt;ESCALAS!$E$28, "E", "")))))</f>
        <v>A</v>
      </c>
      <c r="AU23"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 + E23)=0,0,1)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E23)) * -3.400420414 +  ('Envoltória e Pré-req dos Amb'!E27 + E23)*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23" s="238" t="e">
        <f>IF(AU23&lt;ESCALAS!$H$5, "A", IF(AU23&lt;ESCALAS!$H$6,"B", IF(AU23&lt;ESCALAS!$H$7, "C", IF(AU23&lt;ESCALAS!$H$8, "D", IF(AU23&gt;ESCALAS!$H$8, "E", "")))))</f>
        <v>#DIV/0!</v>
      </c>
      <c r="AW23"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Amb'!E27 - E23)=0,0,1)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E23)) * -3.400420414 +  ('Envoltória e Pré-req dos Amb'!E27 - E23)*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23" s="240" t="e">
        <f>IF(AW23&lt;ESCALAS!$H$5, "A", IF(AW23&lt;ESCALAS!$H$6,"B", IF(AW23&lt;ESCALAS!$H$7, "C", IF(AW23&lt;ESCALAS!$H$8, "D", IF(AW23&gt;ESCALAS!$H$8, "E", "")))))</f>
        <v>#DIV/0!</v>
      </c>
      <c r="AY23"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E23))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 + E23)=0,0,1)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 E23)*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E23) * -67.21835767 + IF( 'Envoltória e Pré-req dos Amb'!E31=0,0,1) * -708.5751101</f>
        <v>#DIV/0!</v>
      </c>
      <c r="AZ23" s="238" t="e">
        <f>IF(AY23&lt;ESCALAS!$F$5, "A", IF(AY23&lt;ESCALAS!$F$6,"B", IF(AY23&lt;ESCALAS!$F$7, "C", IF(AY23&lt;ESCALAS!$F$8, "D", IF(AY23&gt;ESCALAS!$F$8, "E", "")))))</f>
        <v>#DIV/0!</v>
      </c>
      <c r="BA23"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E23))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Amb'!E27 - E23)=0,0,1)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 E23)*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E23) * -67.21835767 + IF( 'Envoltória e Pré-req dos Amb'!E31=0,0,1) * -708.5751101</f>
        <v>#DIV/0!</v>
      </c>
      <c r="BB23" s="240" t="e">
        <f>IF(BA23&lt;ESCALAS!$F$5, "A", IF(BA23&lt;ESCALAS!$F$6,"B", IF(BA23&lt;ESCALAS!$F$7, "C", IF(BA23&lt;ESCALAS!$F$8, "D", IF(BA23&gt;ESCALAS!$F$8, "E", "")))))</f>
        <v>#DIV/0!</v>
      </c>
      <c r="BC23"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E23))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 E23)*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E23)) * -5.194387731 + IF( 'Envoltória e Pré-req dos Amb'!E26=0,0,1) * 2421.022147 + IF( ('Envoltória e Pré-req dos Amb'!E27 + E23)=0,0,1)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 E23)* 'Envoltória e Pré-req dos Amb'!E21 * -868.538084 +  'Envoltória e Pré-req dos Amb'!E20 * 1.006532661 + ( 'Envoltória e Pré-req dos Amb'!E24+ 'Envoltória e Pré-req dos Amb'!E25+ 'Envoltória e Pré-req dos Amb'!E26+ ('Envoltória e Pré-req dos Amb'!E27 + E23))* 'Envoltória e Pré-req dos Amb'!E20 * -0.022638015 +  ('Envoltória e Pré-req dos Amb'!E27 + E23)* 'Envoltória e Pré-req dos Amb'!E19 * -279.5554246 +  'Envoltória e Pré-req dos Amb'!E26 * -540.0450775</f>
        <v>#DIV/0!</v>
      </c>
      <c r="BD23" s="238" t="e">
        <f>IF(BC23&lt;ESCALAS!$G$5, "A", IF(BC23&lt;ESCALAS!$G$6,"B", IF(BC23&lt;ESCALAS!$G$7, "C", IF(BC23&lt;ESCALAS!$G$8, "D", IF(BC23&gt;ESCALAS!$G$8, "E", "")))))</f>
        <v>#DIV/0!</v>
      </c>
      <c r="BE23"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E23))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 E23)*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E23)) * -5.194387731 + IF( 'Envoltória e Pré-req dos Amb'!E26=0,0,1) * 2421.022147 + IF( ('Envoltória e Pré-req dos Amb'!E27 - E23)=0,0,1)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 E23)* 'Envoltória e Pré-req dos Amb'!E21 * -868.538084 +  'Envoltória e Pré-req dos Amb'!E20 * 1.006532661 + ( 'Envoltória e Pré-req dos Amb'!E24+ 'Envoltória e Pré-req dos Amb'!E25+ 'Envoltória e Pré-req dos Amb'!E26+ ('Envoltória e Pré-req dos Amb'!E27 - E23))* 'Envoltória e Pré-req dos Amb'!E20 * -0.022638015 +  ('Envoltória e Pré-req dos Amb'!E27 - E23)* 'Envoltória e Pré-req dos Amb'!E19 * -279.5554246 +  'Envoltória e Pré-req dos Amb'!E26 * -540.0450775</f>
        <v>#DIV/0!</v>
      </c>
      <c r="BF23" s="240" t="e">
        <f>IF(BE23&lt;ESCALAS!$G$5, "A", IF(BE23&lt;ESCALAS!$G$6,"B", IF(BE23&lt;ESCALAS!$G$7, "C", IF(BE23&lt;ESCALAS!$G$8, "D", IF(BE23&gt;ESCALAS!$G$8, "E", "")))))</f>
        <v>#DIV/0!</v>
      </c>
    </row>
    <row r="24" spans="2:58" ht="13.5" thickBot="1" x14ac:dyDescent="0.25">
      <c r="B24" s="341" t="s">
        <v>54</v>
      </c>
      <c r="C24" s="103" t="s">
        <v>222</v>
      </c>
      <c r="D24" s="85">
        <v>0.5</v>
      </c>
      <c r="E24" s="283">
        <v>0.5</v>
      </c>
      <c r="F24" s="294" t="e">
        <f>IF('Envoltória e Pré-req dos Amb'!$E$10="ZB1",O24,IF('Envoltória e Pré-req dos Amb'!$E$10="ZB2",W24,IF('Envoltória e Pré-req dos Amb'!$E$10="ZB3",AE24,IF('Envoltória e Pré-req dos Amb'!$E$10="ZB4",AM24,IF('Envoltória e Pré-req dos Amb'!$E$10="ZB5",AU24,IF('Envoltória e Pré-req dos Amb'!$E$10="ZB6",AY24,IF('Envoltória e Pré-req dos Amb'!$E$10="ZB7",BC24,IF('Envoltória e Pré-req dos Amb'!$E$10="ZB8",AU24,"Escolha uma ZB"))))))))</f>
        <v>#DIV/0!</v>
      </c>
      <c r="G24" s="264" t="e">
        <f>IF('Envoltória e Pré-req dos Amb'!$E$10="ZB1",P24,IF('Envoltória e Pré-req dos Amb'!$E$10="ZB2",X24,IF('Envoltória e Pré-req dos Amb'!$E$10="ZB3",AF24,IF('Envoltória e Pré-req dos Amb'!$E$10="ZB4",AN24,IF('Envoltória e Pré-req dos Amb'!$E$10="ZB5",AV24,IF('Envoltória e Pré-req dos Amb'!$E$10="ZB6",AZ24,IF('Envoltória e Pré-req dos Amb'!$E$10="ZB7",BD24,IF('Envoltória e Pré-req dos Amb'!$E$10="ZB8",AV24,"Escolha uma ZB"))))))))</f>
        <v>#DIV/0!</v>
      </c>
      <c r="H24" s="300" t="e">
        <f>IF('Envoltória e Pré-req dos Amb'!$E$10="ZB1",Q24,IF('Envoltória e Pré-req dos Amb'!$E$10="ZB2",Y24,IF('Envoltória e Pré-req dos Amb'!$E$10="ZB3",AG24,IF('Envoltória e Pré-req dos Amb'!$E$10="ZB4",AO24,IF('Envoltória e Pré-req dos Amb'!$E$10="ZB5",AW24,IF('Envoltória e Pré-req dos Amb'!$E$10="ZB6",BA24,IF('Envoltória e Pré-req dos Amb'!$E$10="ZB7",BE24,IF('Envoltória e Pré-req dos Amb'!$E$10="ZB8",AW24,"Escolha uma ZB"))))))))</f>
        <v>#DIV/0!</v>
      </c>
      <c r="I24" s="257" t="e">
        <f>IF('Envoltória e Pré-req dos Amb'!$E$10="ZB1",R24,IF('Envoltória e Pré-req dos Amb'!$E$10="ZB2",Z24,IF('Envoltória e Pré-req dos Amb'!$E$10="ZB3",AH24,IF('Envoltória e Pré-req dos Amb'!$E$10="ZB4",AP24,IF('Envoltória e Pré-req dos Amb'!$E$10="ZB5",AX24,IF('Envoltória e Pré-req dos Amb'!$E$10="ZB6",BB24,IF('Envoltória e Pré-req dos Amb'!$E$10="ZB7",BF24,IF('Envoltória e Pré-req dos Amb'!$E$10="ZB8",AX24,"Escolha uma ZB"))))))))</f>
        <v>#DIV/0!</v>
      </c>
      <c r="J24" s="307" t="e">
        <f>IF('Envoltória e Pré-req dos Amb'!$E$10="ZB1",S24,IF('Envoltória e Pré-req dos Amb'!$E$10="ZB2",AA24,IF('Envoltória e Pré-req dos Amb'!$E$10="ZB3",AI24,IF('Envoltória e Pré-req dos Amb'!$E$10="ZB4",AQ24,IF('Envoltória e Pré-req dos Amb'!$E$10="ZB5",0,IF('Envoltória e Pré-req dos Amb'!$E$10="ZB6",0,IF('Envoltória e Pré-req dos Amb'!$E$10="ZB7",0,IF('Envoltória e Pré-req dos Amb'!$E$10="ZB8",0,"Escolha uma ZB"))))))))</f>
        <v>#DIV/0!</v>
      </c>
      <c r="K24" s="264" t="e">
        <f>IF('Envoltória e Pré-req dos Amb'!$E$10="ZB1",T24,IF('Envoltória e Pré-req dos Amb'!$E$10="ZB2",AB24,IF('Envoltória e Pré-req dos Amb'!$E$10="ZB3",AJ24,IF('Envoltória e Pré-req dos Amb'!$E$10="ZB4",AR24,IF('Envoltória e Pré-req dos Amb'!$E$10="ZB5","Não se aplica",IF('Envoltória e Pré-req dos Amb'!$E$10="ZB6","Não se aplica",IF('Envoltória e Pré-req dos Amb'!$E$10="ZB7","Não se aplica",IF('Envoltória e Pré-req dos Amb'!$E$10="ZB8","Não se aplica","Escolha uma ZB"))))))))</f>
        <v>#DIV/0!</v>
      </c>
      <c r="L24" s="311" t="e">
        <f>IF('Envoltória e Pré-req dos Amb'!$E$10="ZB1",U24,IF('Envoltória e Pré-req dos Amb'!$E$10="ZB2",AC24,IF('Envoltória e Pré-req dos Amb'!$E$10="ZB3",AK24,IF('Envoltória e Pré-req dos Amb'!$E$10="ZB4",AS24,IF('Envoltória e Pré-req dos Amb'!$E$10="ZB5",0,IF('Envoltória e Pré-req dos Amb'!$E$10="ZB6",0,IF('Envoltória e Pré-req dos Amb'!$E$10="ZB7",0,IF('Envoltória e Pré-req dos Amb'!$E$10="ZB8",0,"Escolha uma ZB"))))))))</f>
        <v>#DIV/0!</v>
      </c>
      <c r="M24" s="258" t="e">
        <f>IF('Envoltória e Pré-req dos Amb'!$E$10="ZB1",V24,IF('Envoltória e Pré-req dos Amb'!$E$10="ZB2",AD24,IF('Envoltória e Pré-req dos Amb'!$E$10="ZB3",AL24,IF('Envoltória e Pré-req dos Amb'!$E$10="ZB4",AT24,IF('Envoltória e Pré-req dos Amb'!$E$10="ZB5","Não se aplica",IF('Envoltória e Pré-req dos Amb'!$E$10="ZB6","Não se aplica",IF('Envoltória e Pré-req dos Amb'!$E$10="ZB7","Não se aplica",IF('Envoltória e Pré-req dos Amb'!$E$10="ZB8","Não se aplica","Escolha uma ZB"))))))))</f>
        <v>#DIV/0!</v>
      </c>
      <c r="N24" s="230"/>
      <c r="O24"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 + E24)*'Envoltória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 + E24)=0,0,1) * -15.78410342</f>
        <v>#DIV/0!</v>
      </c>
      <c r="P24" s="238" t="e">
        <f>IF(O24&lt;ESCALAS!$B$5, "A", IF(O24&lt;ESCALAS!$B$6,"B", IF(O24&lt;ESCALAS!$B$7, "C", IF(O24&lt;ESCALAS!$B$8, "D", IF(O24&gt;ESCALAS!$B$8, "E", "")))))</f>
        <v>#DIV/0!</v>
      </c>
      <c r="Q24"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Amb'!E28 - E24)*'Envoltória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Amb'!E28 - E24)=0,0,1) * -15.78410342</f>
        <v>#DIV/0!</v>
      </c>
      <c r="R24" s="240" t="e">
        <f>IF(Q24&lt;ESCALAS!$B$5, "A", IF(Q24&lt;ESCALAS!$B$6,"B", IF(Q24&lt;ESCALAS!$B$7, "C", IF(Q24&lt;ESCALAS!$B$8, "D", IF(Q24&gt;ESCALAS!$B$8, "E", "")))))</f>
        <v>#DIV/0!</v>
      </c>
      <c r="S24"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 + E24)*'Envoltória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 + E24)*'Envoltória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 + E24)*IMABS('Envoltória e Pré-req dos Amb'!E33-1) * -14061 + ('Envoltória e Pré-req dos Amb'!E28 + E24)*'Envoltória e Pré-req dos Amb'!E33 * -21052 + ('Envoltória e Pré-req dos Amb'!E28 + E24) * 11213)/1000) /'Envoltória e Pré-req dos Amb'!E12</f>
        <v>#DIV/0!</v>
      </c>
      <c r="T24" s="239" t="e">
        <f>IF(S24&lt;ESCALAS!$B$25, "A", IF(S24&lt;ESCALAS!$B$26,"B", IF(S24&lt;ESCALAS!$B$27, "C", IF(S24&lt;ESCALAS!$B$28, "D", IF(S24&gt;ESCALAS!$B$28, "E", "")))))</f>
        <v>#DIV/0!</v>
      </c>
      <c r="U24"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Amb'!E28 - E24)*'Envoltória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Amb'!E28 - E24)*'Envoltória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Amb'!E28 - E24)*IMABS('Envoltória e Pré-req dos Amb'!E33-1) * -14061 + ('Envoltória e Pré-req dos Amb'!E28 - E24)*'Envoltória e Pré-req dos Amb'!E33 * -21052 + ('Envoltória e Pré-req dos Amb'!E28 - E24) * 11213)/1000) /'Envoltória e Pré-req dos Amb'!E12</f>
        <v>#DIV/0!</v>
      </c>
      <c r="V24" s="271" t="e">
        <f>IF(U24&lt;ESCALAS!$B$25, "A", IF(U24&lt;ESCALAS!$B$26,"B", IF(U24&lt;ESCALAS!$B$27, "C", IF(U24&lt;ESCALAS!$B$28, "D", IF(U24&gt;ESCALAS!$B$28, "E", "")))))</f>
        <v>#DIV/0!</v>
      </c>
      <c r="W24"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 + E24)=0,0,1) * -965.5409191 +  'Envoltória e Pré-req dos Amb'!E24 * -21.6288447 +  'Envoltória e Pré-req dos Amb'!E13* 'Envoltória e Pré-req dos Amb'!E12 * -11.30578124 +  ('Envoltória e Pré-req dos Amb'!E28 + E24)*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 E24)*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24" s="238" t="e">
        <f>IF(W24&lt;ESCALAS!$C$5, "A", IF(W24&lt;ESCALAS!$C$6,"B", IF(W24&lt;ESCALAS!$C$7, "C", IF(W24&lt;ESCALAS!$C$8, "D", IF(W24&gt;ESCALAS!$C$8, "E", "")))))</f>
        <v>#DIV/0!</v>
      </c>
      <c r="Y24"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Amb'!E28 - E24)=0,0,1) * -965.5409191 +  'Envoltória e Pré-req dos Amb'!E24 * -21.6288447 +  'Envoltória e Pré-req dos Amb'!E13* 'Envoltória e Pré-req dos Amb'!E12 * -11.30578124 +  ('Envoltória e Pré-req dos Amb'!E28 - E24)*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 E24)*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24" s="240" t="e">
        <f>IF(Y24&lt;ESCALAS!$C$5, "A", IF(Y24&lt;ESCALAS!$C$6,"B", IF(Y24&lt;ESCALAS!$C$7, "C", IF(Y24&lt;ESCALAS!$C$8, "D", IF(Y24&gt;ESCALAS!$C$8, "E", "")))))</f>
        <v>#DIV/0!</v>
      </c>
      <c r="AA24"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 E24)*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 E24)* 'Envoltória e Pré-req dos Amb'!E39 * 1579 +  ('Envoltória e Pré-req dos Amb'!E28 + E24)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24" s="239" t="e">
        <f>IF(AA24&lt;ESCALAS!$C$25, "A", IF(AA24&lt;ESCALAS!$C$26,"B", IF(AA24&lt;ESCALAS!$C$27, "C", IF(AA24&lt;ESCALAS!$C$28, "D", IF(AA24&gt;ESCALAS!$C$28, "E", "")))))</f>
        <v>#DIV/0!</v>
      </c>
      <c r="AC24"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 E24)*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 E24)* 'Envoltória e Pré-req dos Amb'!E39 * 1579 +  ('Envoltória e Pré-req dos Amb'!E28 - E24)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24" s="271" t="e">
        <f>IF(AC24&lt;ESCALAS!$C$25, "A", IF(AC24&lt;ESCALAS!$C$26,"B", IF(AC24&lt;ESCALAS!$C$27, "C", IF(AC24&lt;ESCALAS!$C$28, "D", IF(AC24&gt;ESCALAS!$C$28, "E", "")))))</f>
        <v>#DIV/0!</v>
      </c>
      <c r="AE24"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 E24)* 'Envoltória e Pré-req dos Amb'!E33 * 2.446596682 + IF( ('Envoltória e Pré-req dos Amb'!E28 + E24)=0,0,1)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 E24)* 'Envoltória e Pré-req dos Amb'!E32 * 79.20949217 +  'Envoltória e Pré-req dos Amb'!E27* 'Envoltória e Pré-req dos Amb'!E19* 'Envoltória e Pré-req dos Amb'!E21 * 15.3350994 +  'Envoltória e Pré-req dos Amb'!E25 * 26.09247753 +  ('Envoltória e Pré-req dos Amb'!E28 + E24)*IMABS( 'Envoltória e Pré-req dos Amb'!E33-1) * -34.77773789</f>
        <v>#DIV/0!</v>
      </c>
      <c r="AF24" s="238" t="e">
        <f>IF(AE24&lt;ESCALAS!$D$5, "A", IF(AE24&lt;ESCALAS!$D$6,"B", IF(AE24&lt;ESCALAS!$D$7, "C", IF(AE24&lt;ESCALAS!$D$8, "D", IF(AE24&gt;ESCALAS!$D$8, "E", "")))))</f>
        <v>#DIV/0!</v>
      </c>
      <c r="AG24"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 E24)* 'Envoltória e Pré-req dos Amb'!E33 * 2.446596682 + IF( ('Envoltória e Pré-req dos Amb'!E28 - E24)=0,0,1)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 E24)* 'Envoltória e Pré-req dos Amb'!E32 * 79.20949217 +  'Envoltória e Pré-req dos Amb'!E27* 'Envoltória e Pré-req dos Amb'!E19* 'Envoltória e Pré-req dos Amb'!E21 * 15.3350994 +  'Envoltória e Pré-req dos Amb'!E25 * 26.09247753 +  ('Envoltória e Pré-req dos Amb'!E28 - E24)*IMABS( 'Envoltória e Pré-req dos Amb'!E33-1) * -34.77773789</f>
        <v>#DIV/0!</v>
      </c>
      <c r="AH24" s="240" t="e">
        <f>IF(AG24&lt;ESCALAS!$D$5, "A", IF(AG24&lt;ESCALAS!$D$6,"B", IF(AG24&lt;ESCALAS!$D$7, "C", IF(AG24&lt;ESCALAS!$D$8, "D", IF(AG24&gt;ESCALAS!$D$8, "E", "")))))</f>
        <v>#DIV/0!</v>
      </c>
      <c r="AI24"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 + E24)=0,0,1)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24" s="239" t="e">
        <f>IF(AI24&lt;ESCALAS!$D$25, "A", IF(AI24&lt;ESCALAS!$D$26,"B", IF(AI24&lt;ESCALAS!$D$27, "C", IF(AI24&lt;ESCALAS!$D$28, "D", IF(AI24&gt;ESCALAS!$D$28, "E", "")))))</f>
        <v>#DIV/0!</v>
      </c>
      <c r="AK24"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Amb'!E28 - E24)=0,0,1)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24" s="271" t="e">
        <f>IF(AK24&lt;ESCALAS!$D$25, "A", IF(AK24&lt;ESCALAS!$D$26,"B", IF(AK24&lt;ESCALAS!$D$27, "C", IF(AK24&lt;ESCALAS!$D$28, "D", IF(AK24&gt;ESCALAS!$D$28, "E", "")))))</f>
        <v>#DIV/0!</v>
      </c>
      <c r="AM24"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 + E24)=0,0,1)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 E24)*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24" s="238" t="e">
        <f>IF(AM24&lt;ESCALAS!$E$5, "A", IF(AM24&lt;ESCALAS!$E$6,"B", IF(AM24&lt;ESCALAS!$E$7, "C", IF(AM24&lt;ESCALAS!$E$8, "D", IF(AM24&gt;ESCALAS!$E$8, "E", "")))))</f>
        <v>#DIV/0!</v>
      </c>
      <c r="AO24"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Amb'!E28 - E24)=0,0,1)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 E24)*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24" s="240" t="e">
        <f>IF(AO24&lt;ESCALAS!$E$5, "A", IF(AO24&lt;ESCALAS!$E$6,"B", IF(AO24&lt;ESCALAS!$E$7, "C", IF(AO24&lt;ESCALAS!$E$8, "D", IF(AO24&gt;ESCALAS!$E$8, "E", "")))))</f>
        <v>#DIV/0!</v>
      </c>
      <c r="AQ24"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 + E24)=0,0,1)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-0.65700526319999997</v>
      </c>
      <c r="AR24" s="239" t="str">
        <f>IF(AQ24&lt;ESCALAS!$E$25, "A", IF(AQ24&lt;ESCALAS!$E$26,"B", IF(AQ24&lt;ESCALAS!$E$27, "C", IF(AQ24&lt;ESCALAS!$E$28, "D", IF(AQ24&gt;ESCALAS!$E$28, "E", "")))))</f>
        <v>A</v>
      </c>
      <c r="AS24"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Amb'!E28 - E24)=0,0,1)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-0.65700526319999997</v>
      </c>
      <c r="AT24" s="271" t="str">
        <f>IF(AS24&lt;ESCALAS!$E$25, "A", IF(AS24&lt;ESCALAS!$E$26,"B", IF(AS24&lt;ESCALAS!$E$27, "C", IF(AS24&lt;ESCALAS!$E$28, "D", IF(AS24&gt;ESCALAS!$E$28, "E", "")))))</f>
        <v>A</v>
      </c>
      <c r="AU24"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 + E24)=0,0,1)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 E24)* 'Envoltória e Pré-req dos Amb'!E33 * -40.67937476 +  'Envoltória e Pré-req dos Amb'!E35* 'Envoltória e Pré-req dos Amb'!E12 * -78.90770328 +  'Envoltória e Pré-req dos Amb'!E34 * 59.97553455 +  'Envoltória e Pré-req dos Amb'!E12 * 152.9114897 +  ('Envoltória e Pré-req dos Amb'!E28 + E24)* 'Envoltória e Pré-req dos Amb'!E32 * 98.27866737 +  'Envoltória e Pré-req dos Amb'!E29* 'Envoltória e Pré-req dos Amb'!E32 * 112.5051338 +  'Envoltória e Pré-req dos Amb'!E30* 'Envoltória e Pré-req dos Amb'!E32 * 93.0504001 + IF( 'Envoltória e Pré-req dos Amb'!E29=0,0,1) * -586.451797</f>
        <v>#DIV/0!</v>
      </c>
      <c r="AV24" s="238" t="e">
        <f>IF(AU24&lt;ESCALAS!$H$5, "A", IF(AU24&lt;ESCALAS!$H$6,"B", IF(AU24&lt;ESCALAS!$H$7, "C", IF(AU24&lt;ESCALAS!$H$8, "D", IF(AU24&gt;ESCALAS!$H$8, "E", "")))))</f>
        <v>#DIV/0!</v>
      </c>
      <c r="AW24"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Amb'!E28 - E24)=0,0,1)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 E24)* 'Envoltória e Pré-req dos Amb'!E33 * -40.67937476 +  'Envoltória e Pré-req dos Amb'!E35* 'Envoltória e Pré-req dos Amb'!E12 * -78.90770328 +  'Envoltória e Pré-req dos Amb'!E34 * 59.97553455 +  'Envoltória e Pré-req dos Amb'!E12 * 152.9114897 +  ('Envoltória e Pré-req dos Amb'!E28 - E24)* 'Envoltória e Pré-req dos Amb'!E32 * 98.27866737 +  'Envoltória e Pré-req dos Amb'!E29* 'Envoltória e Pré-req dos Amb'!E32 * 112.5051338 +  'Envoltória e Pré-req dos Amb'!E30* 'Envoltória e Pré-req dos Amb'!E32 * 93.0504001 + IF( 'Envoltória e Pré-req dos Amb'!E29=0,0,1) * -586.451797</f>
        <v>#DIV/0!</v>
      </c>
      <c r="AX24" s="240" t="e">
        <f>IF(AW24&lt;ESCALAS!$H$5, "A", IF(AW24&lt;ESCALAS!$H$6,"B", IF(AW24&lt;ESCALAS!$H$7, "C", IF(AW24&lt;ESCALAS!$H$8, "D", IF(AW24&gt;ESCALAS!$H$8, "E", "")))))</f>
        <v>#DIV/0!</v>
      </c>
      <c r="AY24"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 E24)* 'Envoltória e Pré-req dos Amb'!E32 * 431.5161264 + IF( ('Envoltória e Pré-req dos Amb'!E28 + E24)=0,0,1)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E24)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24" s="238" t="e">
        <f>IF(AY24&lt;ESCALAS!$F$5, "A", IF(AY24&lt;ESCALAS!$F$6,"B", IF(AY24&lt;ESCALAS!$F$7, "C", IF(AY24&lt;ESCALAS!$F$8, "D", IF(AY24&gt;ESCALAS!$F$8, "E", "")))))</f>
        <v>#DIV/0!</v>
      </c>
      <c r="BA24"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 E24)* 'Envoltória e Pré-req dos Amb'!E32 * 431.5161264 + IF( ('Envoltória e Pré-req dos Amb'!E28 - E24)=0,0,1)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E24)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24" s="240" t="e">
        <f>IF(BA24&lt;ESCALAS!$F$5, "A", IF(BA24&lt;ESCALAS!$F$6,"B", IF(BA24&lt;ESCALAS!$F$7, "C", IF(BA24&lt;ESCALAS!$F$8, "D", IF(BA24&gt;ESCALAS!$F$8, "E", "")))))</f>
        <v>#DIV/0!</v>
      </c>
      <c r="BC24"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 + E24)=0,0,1)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 E24)* 'Envoltória e Pré-req dos Amb'!E32 * 416.5897659 +  ('Envoltória e Pré-req dos Amb'!E28 + E24)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24" s="238" t="e">
        <f>IF(BC24&lt;ESCALAS!$G$5, "A", IF(BC24&lt;ESCALAS!$G$6,"B", IF(BC24&lt;ESCALAS!$G$7, "C", IF(BC24&lt;ESCALAS!$G$8, "D", IF(BC24&gt;ESCALAS!$G$8, "E", "")))))</f>
        <v>#DIV/0!</v>
      </c>
      <c r="BE24"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Amb'!E28 - E24)=0,0,1)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 E24)* 'Envoltória e Pré-req dos Amb'!E32 * 416.5897659 +  ('Envoltória e Pré-req dos Amb'!E28 - E24)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24" s="240" t="e">
        <f>IF(BE24&lt;ESCALAS!$G$5, "A", IF(BE24&lt;ESCALAS!$G$6,"B", IF(BE24&lt;ESCALAS!$G$7, "C", IF(BE24&lt;ESCALAS!$G$8, "D", IF(BE24&gt;ESCALAS!$G$8, "E", "")))))</f>
        <v>#DIV/0!</v>
      </c>
    </row>
    <row r="25" spans="2:58" ht="13.5" thickBot="1" x14ac:dyDescent="0.25">
      <c r="B25" s="342"/>
      <c r="C25" s="104" t="s">
        <v>223</v>
      </c>
      <c r="D25" s="83">
        <v>0.5</v>
      </c>
      <c r="E25" s="283">
        <v>0.5</v>
      </c>
      <c r="F25" s="295" t="e">
        <f>IF('Envoltória e Pré-req dos Amb'!$E$10="ZB1",O25,IF('Envoltória e Pré-req dos Amb'!$E$10="ZB2",W25,IF('Envoltória e Pré-req dos Amb'!$E$10="ZB3",AE25,IF('Envoltória e Pré-req dos Amb'!$E$10="ZB4",AM25,IF('Envoltória e Pré-req dos Amb'!$E$10="ZB5",AU25,IF('Envoltória e Pré-req dos Amb'!$E$10="ZB6",AY25,IF('Envoltória e Pré-req dos Amb'!$E$10="ZB7",BC25,IF('Envoltória e Pré-req dos Amb'!$E$10="ZB8",AU25,"Escolha uma ZB"))))))))</f>
        <v>#DIV/0!</v>
      </c>
      <c r="G25" s="265" t="e">
        <f>IF('Envoltória e Pré-req dos Amb'!$E$10="ZB1",P25,IF('Envoltória e Pré-req dos Amb'!$E$10="ZB2",X25,IF('Envoltória e Pré-req dos Amb'!$E$10="ZB3",AF25,IF('Envoltória e Pré-req dos Amb'!$E$10="ZB4",AN25,IF('Envoltória e Pré-req dos Amb'!$E$10="ZB5",AV25,IF('Envoltória e Pré-req dos Amb'!$E$10="ZB6",AZ25,IF('Envoltória e Pré-req dos Amb'!$E$10="ZB7",BD25,IF('Envoltória e Pré-req dos Amb'!$E$10="ZB8",AV25,"Escolha uma ZB"))))))))</f>
        <v>#DIV/0!</v>
      </c>
      <c r="H25" s="301" t="e">
        <f>IF('Envoltória e Pré-req dos Amb'!$E$10="ZB1",Q25,IF('Envoltória e Pré-req dos Amb'!$E$10="ZB2",Y25,IF('Envoltória e Pré-req dos Amb'!$E$10="ZB3",AG25,IF('Envoltória e Pré-req dos Amb'!$E$10="ZB4",AO25,IF('Envoltória e Pré-req dos Amb'!$E$10="ZB5",AW25,IF('Envoltória e Pré-req dos Amb'!$E$10="ZB6",BA25,IF('Envoltória e Pré-req dos Amb'!$E$10="ZB7",BE25,IF('Envoltória e Pré-req dos Amb'!$E$10="ZB8",AW25,"Escolha uma ZB"))))))))</f>
        <v>#DIV/0!</v>
      </c>
      <c r="I25" s="259" t="e">
        <f>IF('Envoltória e Pré-req dos Amb'!$E$10="ZB1",R25,IF('Envoltória e Pré-req dos Amb'!$E$10="ZB2",Z25,IF('Envoltória e Pré-req dos Amb'!$E$10="ZB3",AH25,IF('Envoltória e Pré-req dos Amb'!$E$10="ZB4",AP25,IF('Envoltória e Pré-req dos Amb'!$E$10="ZB5",AX25,IF('Envoltória e Pré-req dos Amb'!$E$10="ZB6",BB25,IF('Envoltória e Pré-req dos Amb'!$E$10="ZB7",BF25,IF('Envoltória e Pré-req dos Amb'!$E$10="ZB8",AX25,"Escolha uma ZB"))))))))</f>
        <v>#DIV/0!</v>
      </c>
      <c r="J25" s="308" t="e">
        <f>IF('Envoltória e Pré-req dos Amb'!$E$10="ZB1",S25,IF('Envoltória e Pré-req dos Amb'!$E$10="ZB2",AA25,IF('Envoltória e Pré-req dos Amb'!$E$10="ZB3",AI25,IF('Envoltória e Pré-req dos Amb'!$E$10="ZB4",AQ25,IF('Envoltória e Pré-req dos Amb'!$E$10="ZB5",0,IF('Envoltória e Pré-req dos Amb'!$E$10="ZB6",0,IF('Envoltória e Pré-req dos Amb'!$E$10="ZB7",0,IF('Envoltória e Pré-req dos Amb'!$E$10="ZB8",0,"Escolha uma ZB"))))))))</f>
        <v>#DIV/0!</v>
      </c>
      <c r="K25" s="265" t="e">
        <f>IF('Envoltória e Pré-req dos Amb'!$E$10="ZB1",T25,IF('Envoltória e Pré-req dos Amb'!$E$10="ZB2",AB25,IF('Envoltória e Pré-req dos Amb'!$E$10="ZB3",AJ25,IF('Envoltória e Pré-req dos Amb'!$E$10="ZB4",AR25,IF('Envoltória e Pré-req dos Amb'!$E$10="ZB5","Não se aplica",IF('Envoltória e Pré-req dos Amb'!$E$10="ZB6","Não se aplica",IF('Envoltória e Pré-req dos Amb'!$E$10="ZB7","Não se aplica",IF('Envoltória e Pré-req dos Amb'!$E$10="ZB8","Não se aplica","Escolha uma ZB"))))))))</f>
        <v>#DIV/0!</v>
      </c>
      <c r="L25" s="312" t="e">
        <f>IF('Envoltória e Pré-req dos Amb'!$E$10="ZB1",U25,IF('Envoltória e Pré-req dos Amb'!$E$10="ZB2",AC25,IF('Envoltória e Pré-req dos Amb'!$E$10="ZB3",AK25,IF('Envoltória e Pré-req dos Amb'!$E$10="ZB4",AS25,IF('Envoltória e Pré-req dos Amb'!$E$10="ZB5",0,IF('Envoltória e Pré-req dos Amb'!$E$10="ZB6",0,IF('Envoltória e Pré-req dos Amb'!$E$10="ZB7",0,IF('Envoltória e Pré-req dos Amb'!$E$10="ZB8",0,"Escolha uma ZB"))))))))</f>
        <v>#DIV/0!</v>
      </c>
      <c r="M25" s="260" t="e">
        <f>IF('Envoltória e Pré-req dos Amb'!$E$10="ZB1",V25,IF('Envoltória e Pré-req dos Amb'!$E$10="ZB2",AD25,IF('Envoltória e Pré-req dos Amb'!$E$10="ZB3",AL25,IF('Envoltória e Pré-req dos Amb'!$E$10="ZB4",AT25,IF('Envoltória e Pré-req dos Amb'!$E$10="ZB5","Não se aplica",IF('Envoltória e Pré-req dos Amb'!$E$10="ZB6","Não se aplica",IF('Envoltória e Pré-req dos Amb'!$E$10="ZB7","Não se aplica",IF('Envoltória e Pré-req dos Amb'!$E$10="ZB8","Não se aplica","Escolha uma ZB"))))))))</f>
        <v>#DIV/0!</v>
      </c>
      <c r="N25" s="230"/>
      <c r="O25"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 + E25)=0,0,1)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 + E25)*'Envoltória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 + E25)*'Envoltória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25" s="238" t="e">
        <f>IF(O25&lt;ESCALAS!$B$5, "A", IF(O25&lt;ESCALAS!$B$6,"B", IF(O25&lt;ESCALAS!$B$7, "C", IF(O25&lt;ESCALAS!$B$8, "D", IF(O25&gt;ESCALAS!$B$8, "E", "")))))</f>
        <v>#DIV/0!</v>
      </c>
      <c r="Q25"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Amb'!E29 - E25)=0,0,1)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Amb'!E29 - E25)*'Envoltória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Amb'!E29 - E25)*'Envoltória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25" s="240" t="e">
        <f>IF(Q25&lt;ESCALAS!$B$5, "A", IF(Q25&lt;ESCALAS!$B$6,"B", IF(Q25&lt;ESCALAS!$B$7, "C", IF(Q25&lt;ESCALAS!$B$8, "D", IF(Q25&gt;ESCALAS!$B$8, "E", "")))))</f>
        <v>#DIV/0!</v>
      </c>
      <c r="S25"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 + E25)*'Envoltória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E25)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 + E25)*'Envoltória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25" s="239" t="e">
        <f>IF(S25&lt;ESCALAS!$B$25, "A", IF(S25&lt;ESCALAS!$B$26,"B", IF(S25&lt;ESCALAS!$B$27, "C", IF(S25&lt;ESCALAS!$B$28, "D", IF(S25&gt;ESCALAS!$B$28, "E", "")))))</f>
        <v>#DIV/0!</v>
      </c>
      <c r="U25"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Amb'!E29 - E25)*'Envoltória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E25)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Amb'!E29 - E25)*'Envoltória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25" s="271" t="e">
        <f>IF(U25&lt;ESCALAS!$B$25, "A", IF(U25&lt;ESCALAS!$B$26,"B", IF(U25&lt;ESCALAS!$B$27, "C", IF(U25&lt;ESCALAS!$B$28, "D", IF(U25&gt;ESCALAS!$B$28, "E", "")))))</f>
        <v>#DIV/0!</v>
      </c>
      <c r="W25"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 + E25)=0,0,1)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 E25)*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E25) * -89.86769782 +  'Envoltória e Pré-req dos Amb'!E25* 'Envoltória e Pré-req dos Amb'!E19 * -14.26514457 +  ('Envoltória e Pré-req dos Amb'!E29 + E25)*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25" s="238" t="e">
        <f>IF(W25&lt;ESCALAS!$C$5, "A", IF(W25&lt;ESCALAS!$C$6,"B", IF(W25&lt;ESCALAS!$C$7, "C", IF(W25&lt;ESCALAS!$C$8, "D", IF(W25&gt;ESCALAS!$C$8, "E", "")))))</f>
        <v>#DIV/0!</v>
      </c>
      <c r="Y25"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Amb'!E29 - E25)=0,0,1)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 E25)*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E25) * -89.86769782 +  'Envoltória e Pré-req dos Amb'!E25* 'Envoltória e Pré-req dos Amb'!E19 * -14.26514457 +  ('Envoltória e Pré-req dos Amb'!E29 - E25)*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25" s="240" t="e">
        <f>IF(Y25&lt;ESCALAS!$C$5, "A", IF(Y25&lt;ESCALAS!$C$6,"B", IF(Y25&lt;ESCALAS!$C$7, "C", IF(Y25&lt;ESCALAS!$C$8, "D", IF(Y25&gt;ESCALAS!$C$8, "E", "")))))</f>
        <v>#DIV/0!</v>
      </c>
      <c r="AA25"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 E25)*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E25)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 E25)* 'Envoltória e Pré-req dos Amb'!E33 * -7024 +  ('Envoltória e Pré-req dos Amb'!E29 + E25)*IMABS( 'Envoltória e Pré-req dos Amb'!E33-1) * -3591)/1000)/ 'Envoltória e Pré-req dos Amb'!E12</f>
        <v>#DIV/0!</v>
      </c>
      <c r="AB25" s="239" t="e">
        <f>IF(AA25&lt;ESCALAS!$C$25, "A", IF(AA25&lt;ESCALAS!$C$26,"B", IF(AA25&lt;ESCALAS!$C$27, "C", IF(AA25&lt;ESCALAS!$C$28, "D", IF(AA25&gt;ESCALAS!$C$28, "E", "")))))</f>
        <v>#DIV/0!</v>
      </c>
      <c r="AC25"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 E25)*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E25)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 E25)* 'Envoltória e Pré-req dos Amb'!E33 * -7024 +  ('Envoltória e Pré-req dos Amb'!E29 - E25)*IMABS( 'Envoltória e Pré-req dos Amb'!E33-1) * -3591)/1000)/ 'Envoltória e Pré-req dos Amb'!E12</f>
        <v>#DIV/0!</v>
      </c>
      <c r="AD25" s="271" t="e">
        <f>IF(AC25&lt;ESCALAS!$C$25, "A", IF(AC25&lt;ESCALAS!$C$26,"B", IF(AC25&lt;ESCALAS!$C$27, "C", IF(AC25&lt;ESCALAS!$C$28, "D", IF(AC25&gt;ESCALAS!$C$28, "E", "")))))</f>
        <v>#DIV/0!</v>
      </c>
      <c r="AE25"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 + E25)=0,0,1)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 + E25)*IMABS(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 E25)*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25" s="238" t="e">
        <f>IF(AE25&lt;ESCALAS!$D$5, "A", IF(AE25&lt;ESCALAS!$D$6,"B", IF(AE25&lt;ESCALAS!$D$7, "C", IF(AE25&lt;ESCALAS!$D$8, "D", IF(AE25&gt;ESCALAS!$D$8, "E", "")))))</f>
        <v>#DIV/0!</v>
      </c>
      <c r="AG25"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Amb'!E29 - E25)=0,0,1)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Amb'!E29 - E25)*IMABS(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 E25)*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25" s="240" t="e">
        <f>IF(AG25&lt;ESCALAS!$D$5, "A", IF(AG25&lt;ESCALAS!$D$6,"B", IF(AG25&lt;ESCALAS!$D$7, "C", IF(AG25&lt;ESCALAS!$D$8, "D", IF(AG25&gt;ESCALAS!$D$8, "E", "")))))</f>
        <v>#DIV/0!</v>
      </c>
      <c r="AI25"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E25)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25" s="239" t="e">
        <f>IF(AI25&lt;ESCALAS!$D$25, "A", IF(AI25&lt;ESCALAS!$D$26,"B", IF(AI25&lt;ESCALAS!$D$27, "C", IF(AI25&lt;ESCALAS!$D$28, "D", IF(AI25&gt;ESCALAS!$D$28, "E", "")))))</f>
        <v>#DIV/0!</v>
      </c>
      <c r="AK25"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E25)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25" s="271" t="e">
        <f>IF(AK25&lt;ESCALAS!$D$25, "A", IF(AK25&lt;ESCALAS!$D$26,"B", IF(AK25&lt;ESCALAS!$D$27, "C", IF(AK25&lt;ESCALAS!$D$28, "D", IF(AK25&gt;ESCALAS!$D$28, "E", "")))))</f>
        <v>#DIV/0!</v>
      </c>
      <c r="AM25"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 + E25)*IMABS(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 + E25)=0,0,1)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 E25)*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25" s="238" t="e">
        <f>IF(AM25&lt;ESCALAS!$E$5, "A", IF(AM25&lt;ESCALAS!$E$6,"B", IF(AM25&lt;ESCALAS!$E$7, "C", IF(AM25&lt;ESCALAS!$E$8, "D", IF(AM25&gt;ESCALAS!$E$8, "E", "")))))</f>
        <v>#DIV/0!</v>
      </c>
      <c r="AO25"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Amb'!E29 - E25)*IMABS(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Amb'!E29 - E25)=0,0,1)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 E25)*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25" s="240" t="e">
        <f>IF(AO25&lt;ESCALAS!$E$5, "A", IF(AO25&lt;ESCALAS!$E$6,"B", IF(AO25&lt;ESCALAS!$E$7, "C", IF(AO25&lt;ESCALAS!$E$8, "D", IF(AO25&gt;ESCALAS!$E$8, "E", "")))))</f>
        <v>#DIV/0!</v>
      </c>
      <c r="AQ25"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E25)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-0.36369636297000002</v>
      </c>
      <c r="AR25" s="239" t="str">
        <f>IF(AQ25&lt;ESCALAS!$E$25, "A", IF(AQ25&lt;ESCALAS!$E$26,"B", IF(AQ25&lt;ESCALAS!$E$27, "C", IF(AQ25&lt;ESCALAS!$E$28, "D", IF(AQ25&gt;ESCALAS!$E$28, "E", "")))))</f>
        <v>A</v>
      </c>
      <c r="AS25"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E25)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-0.40464670183000001</v>
      </c>
      <c r="AT25" s="271" t="str">
        <f>IF(AS25&lt;ESCALAS!$E$25, "A", IF(AS25&lt;ESCALAS!$E$26,"B", IF(AS25&lt;ESCALAS!$E$27, "C", IF(AS25&lt;ESCALAS!$E$28, "D", IF(AS25&gt;ESCALAS!$E$28, "E", "")))))</f>
        <v>A</v>
      </c>
      <c r="AU25"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 + E25)*IMABS(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 E25)* 'Envoltória e Pré-req dos Amb'!E32 * 112.5051338 +  'Envoltória e Pré-req dos Amb'!E30* 'Envoltória e Pré-req dos Amb'!E32 * 93.0504001 + IF( ('Envoltória e Pré-req dos Amb'!E29 + E25)=0,0,1) * -586.451797</f>
        <v>#DIV/0!</v>
      </c>
      <c r="AV25" s="238" t="e">
        <f>IF(AU25&lt;ESCALAS!$H$5, "A", IF(AU25&lt;ESCALAS!$H$6,"B", IF(AU25&lt;ESCALAS!$H$7, "C", IF(AU25&lt;ESCALAS!$H$8, "D", IF(AU25&gt;ESCALAS!$H$8, "E", "")))))</f>
        <v>#DIV/0!</v>
      </c>
      <c r="AW25"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Amb'!E29 - E25)*IMABS(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 E25)* 'Envoltória e Pré-req dos Amb'!E32 * 112.5051338 +  'Envoltória e Pré-req dos Amb'!E30* 'Envoltória e Pré-req dos Amb'!E32 * 93.0504001 + IF( ('Envoltória e Pré-req dos Amb'!E29 - E25)=0,0,1) * -586.451797</f>
        <v>#DIV/0!</v>
      </c>
      <c r="AX25" s="240" t="e">
        <f>IF(AW25&lt;ESCALAS!$H$5, "A", IF(AW25&lt;ESCALAS!$H$6,"B", IF(AW25&lt;ESCALAS!$H$7, "C", IF(AW25&lt;ESCALAS!$H$8, "D", IF(AW25&gt;ESCALAS!$H$8, "E", "")))))</f>
        <v>#DIV/0!</v>
      </c>
      <c r="AY25"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 + E25)=0,0,1)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 + E25)*IF(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 E25)*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E25)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25" s="238" t="e">
        <f>IF(AY25&lt;ESCALAS!$F$5, "A", IF(AY25&lt;ESCALAS!$F$6,"B", IF(AY25&lt;ESCALAS!$F$7, "C", IF(AY25&lt;ESCALAS!$F$8, "D", IF(AY25&gt;ESCALAS!$F$8, "E", "")))))</f>
        <v>#DIV/0!</v>
      </c>
      <c r="BA25"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Amb'!E29 - E25)=0,0,1)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Amb'!E29 - E25)*IF(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 E25)*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E25)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25" s="240" t="e">
        <f>IF(BA25&lt;ESCALAS!$F$5, "A", IF(BA25&lt;ESCALAS!$F$6,"B", IF(BA25&lt;ESCALAS!$F$7, "C", IF(BA25&lt;ESCALAS!$F$8, "D", IF(BA25&gt;ESCALAS!$F$8, "E", "")))))</f>
        <v>#DIV/0!</v>
      </c>
      <c r="BC25"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 + E25)=0,0,1)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 + E25)*IMABS(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25" s="238" t="e">
        <f>IF(BC25&lt;ESCALAS!$G$5, "A", IF(BC25&lt;ESCALAS!$G$6,"B", IF(BC25&lt;ESCALAS!$G$7, "C", IF(BC25&lt;ESCALAS!$G$8, "D", IF(BC25&gt;ESCALAS!$G$8, "E", "")))))</f>
        <v>#DIV/0!</v>
      </c>
      <c r="BE25"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Amb'!E29 - E25)=0,0,1)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Amb'!E29 - E25)*IMABS(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25" s="240" t="e">
        <f>IF(BE25&lt;ESCALAS!$G$5, "A", IF(BE25&lt;ESCALAS!$G$6,"B", IF(BE25&lt;ESCALAS!$G$7, "C", IF(BE25&lt;ESCALAS!$G$8, "D", IF(BE25&gt;ESCALAS!$G$8, "E", "")))))</f>
        <v>#DIV/0!</v>
      </c>
    </row>
    <row r="26" spans="2:58" ht="13.5" thickBot="1" x14ac:dyDescent="0.25">
      <c r="B26" s="342"/>
      <c r="C26" s="104" t="s">
        <v>224</v>
      </c>
      <c r="D26" s="83">
        <v>0.5</v>
      </c>
      <c r="E26" s="283">
        <v>0.5</v>
      </c>
      <c r="F26" s="295" t="e">
        <f>IF('Envoltória e Pré-req dos Amb'!$E$10="ZB1",O26,IF('Envoltória e Pré-req dos Amb'!$E$10="ZB2",W26,IF('Envoltória e Pré-req dos Amb'!$E$10="ZB3",AE26,IF('Envoltória e Pré-req dos Amb'!$E$10="ZB4",AM26,IF('Envoltória e Pré-req dos Amb'!$E$10="ZB5",AU26,IF('Envoltória e Pré-req dos Amb'!$E$10="ZB6",AY26,IF('Envoltória e Pré-req dos Amb'!$E$10="ZB7",BC26,IF('Envoltória e Pré-req dos Amb'!$E$10="ZB8",AU26,"Escolha uma ZB"))))))))</f>
        <v>#DIV/0!</v>
      </c>
      <c r="G26" s="265" t="e">
        <f>IF('Envoltória e Pré-req dos Amb'!$E$10="ZB1",P26,IF('Envoltória e Pré-req dos Amb'!$E$10="ZB2",X26,IF('Envoltória e Pré-req dos Amb'!$E$10="ZB3",AF26,IF('Envoltória e Pré-req dos Amb'!$E$10="ZB4",AN26,IF('Envoltória e Pré-req dos Amb'!$E$10="ZB5",AV26,IF('Envoltória e Pré-req dos Amb'!$E$10="ZB6",AZ26,IF('Envoltória e Pré-req dos Amb'!$E$10="ZB7",BD26,IF('Envoltória e Pré-req dos Amb'!$E$10="ZB8",AV26,"Escolha uma ZB"))))))))</f>
        <v>#DIV/0!</v>
      </c>
      <c r="H26" s="301" t="e">
        <f>IF('Envoltória e Pré-req dos Amb'!$E$10="ZB1",Q26,IF('Envoltória e Pré-req dos Amb'!$E$10="ZB2",Y26,IF('Envoltória e Pré-req dos Amb'!$E$10="ZB3",AG26,IF('Envoltória e Pré-req dos Amb'!$E$10="ZB4",AO26,IF('Envoltória e Pré-req dos Amb'!$E$10="ZB5",AW26,IF('Envoltória e Pré-req dos Amb'!$E$10="ZB6",BA26,IF('Envoltória e Pré-req dos Amb'!$E$10="ZB7",BE26,IF('Envoltória e Pré-req dos Amb'!$E$10="ZB8",AW26,"Escolha uma ZB"))))))))</f>
        <v>#DIV/0!</v>
      </c>
      <c r="I26" s="259" t="e">
        <f>IF('Envoltória e Pré-req dos Amb'!$E$10="ZB1",R26,IF('Envoltória e Pré-req dos Amb'!$E$10="ZB2",Z26,IF('Envoltória e Pré-req dos Amb'!$E$10="ZB3",AH26,IF('Envoltória e Pré-req dos Amb'!$E$10="ZB4",AP26,IF('Envoltória e Pré-req dos Amb'!$E$10="ZB5",AX26,IF('Envoltória e Pré-req dos Amb'!$E$10="ZB6",BB26,IF('Envoltória e Pré-req dos Amb'!$E$10="ZB7",BF26,IF('Envoltória e Pré-req dos Amb'!$E$10="ZB8",AX26,"Escolha uma ZB"))))))))</f>
        <v>#DIV/0!</v>
      </c>
      <c r="J26" s="308" t="e">
        <f>IF('Envoltória e Pré-req dos Amb'!$E$10="ZB1",S26,IF('Envoltória e Pré-req dos Amb'!$E$10="ZB2",AA26,IF('Envoltória e Pré-req dos Amb'!$E$10="ZB3",AI26,IF('Envoltória e Pré-req dos Amb'!$E$10="ZB4",AQ26,IF('Envoltória e Pré-req dos Amb'!$E$10="ZB5",0,IF('Envoltória e Pré-req dos Amb'!$E$10="ZB6",0,IF('Envoltória e Pré-req dos Amb'!$E$10="ZB7",0,IF('Envoltória e Pré-req dos Amb'!$E$10="ZB8",0,"Escolha uma ZB"))))))))</f>
        <v>#DIV/0!</v>
      </c>
      <c r="K26" s="265" t="e">
        <f>IF('Envoltória e Pré-req dos Amb'!$E$10="ZB1",T26,IF('Envoltória e Pré-req dos Amb'!$E$10="ZB2",AB26,IF('Envoltória e Pré-req dos Amb'!$E$10="ZB3",AJ26,IF('Envoltória e Pré-req dos Amb'!$E$10="ZB4",AR26,IF('Envoltória e Pré-req dos Amb'!$E$10="ZB5","Não se aplica",IF('Envoltória e Pré-req dos Amb'!$E$10="ZB6","Não se aplica",IF('Envoltória e Pré-req dos Amb'!$E$10="ZB7","Não se aplica",IF('Envoltória e Pré-req dos Amb'!$E$10="ZB8","Não se aplica","Escolha uma ZB"))))))))</f>
        <v>#DIV/0!</v>
      </c>
      <c r="L26" s="312" t="e">
        <f>IF('Envoltória e Pré-req dos Amb'!$E$10="ZB1",U26,IF('Envoltória e Pré-req dos Amb'!$E$10="ZB2",AC26,IF('Envoltória e Pré-req dos Amb'!$E$10="ZB3",AK26,IF('Envoltória e Pré-req dos Amb'!$E$10="ZB4",AS26,IF('Envoltória e Pré-req dos Amb'!$E$10="ZB5",0,IF('Envoltória e Pré-req dos Amb'!$E$10="ZB6",0,IF('Envoltória e Pré-req dos Amb'!$E$10="ZB7",0,IF('Envoltória e Pré-req dos Amb'!$E$10="ZB8",0,"Escolha uma ZB"))))))))</f>
        <v>#DIV/0!</v>
      </c>
      <c r="M26" s="260" t="e">
        <f>IF('Envoltória e Pré-req dos Amb'!$E$10="ZB1",V26,IF('Envoltória e Pré-req dos Amb'!$E$10="ZB2",AD26,IF('Envoltória e Pré-req dos Amb'!$E$10="ZB3",AL26,IF('Envoltória e Pré-req dos Amb'!$E$10="ZB4",AT26,IF('Envoltória e Pré-req dos Amb'!$E$10="ZB5","Não se aplica",IF('Envoltória e Pré-req dos Amb'!$E$10="ZB6","Não se aplica",IF('Envoltória e Pré-req dos Amb'!$E$10="ZB7","Não se aplica",IF('Envoltória e Pré-req dos Amb'!$E$10="ZB8","Não se aplica","Escolha uma ZB"))))))))</f>
        <v>#DIV/0!</v>
      </c>
      <c r="N26" s="230"/>
      <c r="O26"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 + E26)*'Envoltória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26" s="238" t="e">
        <f>IF(O26&lt;ESCALAS!$B$5, "A", IF(O26&lt;ESCALAS!$B$6,"B", IF(O26&lt;ESCALAS!$B$7, "C", IF(O26&lt;ESCALAS!$B$8, "D", IF(O26&gt;ESCALAS!$B$8, "E", "")))))</f>
        <v>#DIV/0!</v>
      </c>
      <c r="Q26"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Amb'!E30 - E26)*'Envoltória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26" s="240" t="e">
        <f>IF(Q26&lt;ESCALAS!$B$5, "A", IF(Q26&lt;ESCALAS!$B$6,"B", IF(Q26&lt;ESCALAS!$B$7, "C", IF(Q26&lt;ESCALAS!$B$8, "D", IF(Q26&gt;ESCALAS!$B$8, "E", "")))))</f>
        <v>#DIV/0!</v>
      </c>
      <c r="S26"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 + E26)*'Envoltória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 + E26)*'Envoltória e Pré-req dos Amb'!E32 * -53393 + 'Envoltória e Pré-req dos Amb'!E29*'Envoltória e Pré-req dos Amb'!E32 * -47868 + 'Envoltória e Pré-req dos Amb'!E14 * 30811 + 'Envoltória e Pré-req dos Amb'!E15 * 27239 + ('Envoltória e Pré-req dos Amb'!E30 + E26)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26" s="239" t="e">
        <f>IF(S26&lt;ESCALAS!$B$25, "A", IF(S26&lt;ESCALAS!$B$26,"B", IF(S26&lt;ESCALAS!$B$27, "C", IF(S26&lt;ESCALAS!$B$28, "D", IF(S26&gt;ESCALAS!$B$28, "E", "")))))</f>
        <v>#DIV/0!</v>
      </c>
      <c r="U26"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Amb'!E30 - E26)*'Envoltória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Amb'!E30 - E26)*'Envoltória e Pré-req dos Amb'!E32 * -53393 + 'Envoltória e Pré-req dos Amb'!E29*'Envoltória e Pré-req dos Amb'!E32 * -47868 + 'Envoltória e Pré-req dos Amb'!E14 * 30811 + 'Envoltória e Pré-req dos Amb'!E15 * 27239 + ('Envoltória e Pré-req dos Amb'!E30 - E26)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26" s="271" t="e">
        <f>IF(U26&lt;ESCALAS!$B$25, "A", IF(U26&lt;ESCALAS!$B$26,"B", IF(U26&lt;ESCALAS!$B$27, "C", IF(U26&lt;ESCALAS!$B$28, "D", IF(U26&gt;ESCALAS!$B$28, "E", "")))))</f>
        <v>#DIV/0!</v>
      </c>
      <c r="W26"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 + E26)*IMABS(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 E26)*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26" s="238" t="e">
        <f>IF(W26&lt;ESCALAS!$C$5, "A", IF(W26&lt;ESCALAS!$C$6,"B", IF(W26&lt;ESCALAS!$C$7, "C", IF(W26&lt;ESCALAS!$C$8, "D", IF(W26&gt;ESCALAS!$C$8, "E", "")))))</f>
        <v>#DIV/0!</v>
      </c>
      <c r="Y26"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Amb'!E30 - E26)*IMABS(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 E26)*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26" s="240" t="e">
        <f>IF(Y26&lt;ESCALAS!$C$5, "A", IF(Y26&lt;ESCALAS!$C$6,"B", IF(Y26&lt;ESCALAS!$C$7, "C", IF(Y26&lt;ESCALAS!$C$8, "D", IF(Y26&gt;ESCALAS!$C$8, "E", "")))))</f>
        <v>#DIV/0!</v>
      </c>
      <c r="AA26"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 E26)*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 E26)*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26" s="239" t="e">
        <f>IF(AA26&lt;ESCALAS!$C$25, "A", IF(AA26&lt;ESCALAS!$C$26,"B", IF(AA26&lt;ESCALAS!$C$27, "C", IF(AA26&lt;ESCALAS!$C$28, "D", IF(AA26&gt;ESCALAS!$C$28, "E", "")))))</f>
        <v>#DIV/0!</v>
      </c>
      <c r="AC26"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 E26)*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 E26)*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26" s="271" t="e">
        <f>IF(AC26&lt;ESCALAS!$C$25, "A", IF(AC26&lt;ESCALAS!$C$26,"B", IF(AC26&lt;ESCALAS!$C$27, "C", IF(AC26&lt;ESCALAS!$C$28, "D", IF(AC26&gt;ESCALAS!$C$28, "E", "")))))</f>
        <v>#DIV/0!</v>
      </c>
      <c r="AE26"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 E26)*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26" s="238" t="e">
        <f>IF(AE26&lt;ESCALAS!$D$5, "A", IF(AE26&lt;ESCALAS!$D$6,"B", IF(AE26&lt;ESCALAS!$D$7, "C", IF(AE26&lt;ESCALAS!$D$8, "D", IF(AE26&gt;ESCALAS!$D$8, "E", "")))))</f>
        <v>#DIV/0!</v>
      </c>
      <c r="AG26"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 E26)*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26" s="240" t="e">
        <f>IF(AG26&lt;ESCALAS!$D$5, "A", IF(AG26&lt;ESCALAS!$D$6,"B", IF(AG26&lt;ESCALAS!$D$7, "C", IF(AG26&lt;ESCALAS!$D$8, "D", IF(AG26&gt;ESCALAS!$D$8, "E", "")))))</f>
        <v>#DIV/0!</v>
      </c>
      <c r="AI26"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26" s="239" t="e">
        <f>IF(AI26&lt;ESCALAS!$D$25, "A", IF(AI26&lt;ESCALAS!$D$26,"B", IF(AI26&lt;ESCALAS!$D$27, "C", IF(AI26&lt;ESCALAS!$D$28, "D", IF(AI26&gt;ESCALAS!$D$28, "E", "")))))</f>
        <v>#DIV/0!</v>
      </c>
      <c r="AK26"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26" s="271" t="e">
        <f>IF(AK26&lt;ESCALAS!$D$25, "A", IF(AK26&lt;ESCALAS!$D$26,"B", IF(AK26&lt;ESCALAS!$D$27, "C", IF(AK26&lt;ESCALAS!$D$28, "D", IF(AK26&gt;ESCALAS!$D$28, "E", "")))))</f>
        <v>#DIV/0!</v>
      </c>
      <c r="AM26"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E26)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 + E26)*IMABS( 'Envoltória e Pré-req dos Amb'!E33-1) * -13.36922974</f>
        <v>#DIV/0!</v>
      </c>
      <c r="AN26" s="238" t="e">
        <f>IF(AM26&lt;ESCALAS!$E$5, "A", IF(AM26&lt;ESCALAS!$E$6,"B", IF(AM26&lt;ESCALAS!$E$7, "C", IF(AM26&lt;ESCALAS!$E$8, "D", IF(AM26&gt;ESCALAS!$E$8, "E", "")))))</f>
        <v>#DIV/0!</v>
      </c>
      <c r="AO26"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E26)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Amb'!E30 - E26)*IMABS( 'Envoltória e Pré-req dos Amb'!E33-1) * -13.36922974</f>
        <v>#DIV/0!</v>
      </c>
      <c r="AP26" s="240" t="e">
        <f>IF(AO26&lt;ESCALAS!$E$5, "A", IF(AO26&lt;ESCALAS!$E$6,"B", IF(AO26&lt;ESCALAS!$E$7, "C", IF(AO26&lt;ESCALAS!$E$8, "D", IF(AO26&gt;ESCALAS!$E$8, "E", "")))))</f>
        <v>#DIV/0!</v>
      </c>
      <c r="AQ26"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R26" s="239" t="str">
        <f>IF(AQ26&lt;ESCALAS!$E$25, "A", IF(AQ26&lt;ESCALAS!$E$26,"B", IF(AQ26&lt;ESCALAS!$E$27, "C", IF(AQ26&lt;ESCALAS!$E$28, "D", IF(AQ26&gt;ESCALAS!$E$28, "E", "")))))</f>
        <v>A</v>
      </c>
      <c r="AS26"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T26" s="271" t="str">
        <f>IF(AS26&lt;ESCALAS!$E$25, "A", IF(AS26&lt;ESCALAS!$E$26,"B", IF(AS26&lt;ESCALAS!$E$27, "C", IF(AS26&lt;ESCALAS!$E$28, "D", IF(AS26&gt;ESCALAS!$E$28, "E", "")))))</f>
        <v>A</v>
      </c>
      <c r="AU26"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 + E26)=0,0,1)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 + E26)*IMABS(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 E26)* 'Envoltória e Pré-req dos Amb'!E32 * 93.0504001 + IF( 'Envoltória e Pré-req dos Amb'!E29=0,0,1) * -586.451797</f>
        <v>#DIV/0!</v>
      </c>
      <c r="AV26" s="238" t="e">
        <f>IF(AU26&lt;ESCALAS!$H$5, "A", IF(AU26&lt;ESCALAS!$H$6,"B", IF(AU26&lt;ESCALAS!$H$7, "C", IF(AU26&lt;ESCALAS!$H$8, "D", IF(AU26&gt;ESCALAS!$H$8, "E", "")))))</f>
        <v>#DIV/0!</v>
      </c>
      <c r="AW26"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Amb'!E30 - E26)=0,0,1)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Amb'!E30 - E26)*IMABS(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 E26)* 'Envoltória e Pré-req dos Amb'!E32 * 93.0504001 + IF( 'Envoltória e Pré-req dos Amb'!E29=0,0,1) * -586.451797</f>
        <v>#DIV/0!</v>
      </c>
      <c r="AX26" s="240" t="e">
        <f>IF(AW26&lt;ESCALAS!$H$5, "A", IF(AW26&lt;ESCALAS!$H$6,"B", IF(AW26&lt;ESCALAS!$H$7, "C", IF(AW26&lt;ESCALAS!$H$8, "D", IF(AW26&gt;ESCALAS!$H$8, "E", "")))))</f>
        <v>#DIV/0!</v>
      </c>
      <c r="AY26"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 E26)*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E26)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26" s="238" t="e">
        <f>IF(AY26&lt;ESCALAS!$F$5, "A", IF(AY26&lt;ESCALAS!$F$6,"B", IF(AY26&lt;ESCALAS!$F$7, "C", IF(AY26&lt;ESCALAS!$F$8, "D", IF(AY26&gt;ESCALAS!$F$8, "E", "")))))</f>
        <v>#DIV/0!</v>
      </c>
      <c r="BA26"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 E26)*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E26)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26" s="240" t="e">
        <f>IF(BA26&lt;ESCALAS!$F$5, "A", IF(BA26&lt;ESCALAS!$F$6,"B", IF(BA26&lt;ESCALAS!$F$7, "C", IF(BA26&lt;ESCALAS!$F$8, "D", IF(BA26&gt;ESCALAS!$F$8, "E", "")))))</f>
        <v>#DIV/0!</v>
      </c>
      <c r="BC26"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26" s="238" t="e">
        <f>IF(BC26&lt;ESCALAS!$G$5, "A", IF(BC26&lt;ESCALAS!$G$6,"B", IF(BC26&lt;ESCALAS!$G$7, "C", IF(BC26&lt;ESCALAS!$G$8, "D", IF(BC26&gt;ESCALAS!$G$8, "E", "")))))</f>
        <v>#DIV/0!</v>
      </c>
      <c r="BE26"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26" s="240" t="e">
        <f>IF(BE26&lt;ESCALAS!$G$5, "A", IF(BE26&lt;ESCALAS!$G$6,"B", IF(BE26&lt;ESCALAS!$G$7, "C", IF(BE26&lt;ESCALAS!$G$8, "D", IF(BE26&gt;ESCALAS!$G$8, "E", "")))))</f>
        <v>#DIV/0!</v>
      </c>
    </row>
    <row r="27" spans="2:58" ht="13.5" thickBot="1" x14ac:dyDescent="0.25">
      <c r="B27" s="343"/>
      <c r="C27" s="102" t="s">
        <v>225</v>
      </c>
      <c r="D27" s="84">
        <v>0.5</v>
      </c>
      <c r="E27" s="283">
        <v>0.5</v>
      </c>
      <c r="F27" s="296" t="e">
        <f>IF('Envoltória e Pré-req dos Amb'!$E$10="ZB1",O27,IF('Envoltória e Pré-req dos Amb'!$E$10="ZB2",W27,IF('Envoltória e Pré-req dos Amb'!$E$10="ZB3",AE27,IF('Envoltória e Pré-req dos Amb'!$E$10="ZB4",AM27,IF('Envoltória e Pré-req dos Amb'!$E$10="ZB5",AU27,IF('Envoltória e Pré-req dos Amb'!$E$10="ZB6",AY27,IF('Envoltória e Pré-req dos Amb'!$E$10="ZB7",BC27,IF('Envoltória e Pré-req dos Amb'!$E$10="ZB8",AU27,"Escolha uma ZB"))))))))</f>
        <v>#DIV/0!</v>
      </c>
      <c r="G27" s="266" t="e">
        <f>IF('Envoltória e Pré-req dos Amb'!$E$10="ZB1",P27,IF('Envoltória e Pré-req dos Amb'!$E$10="ZB2",X27,IF('Envoltória e Pré-req dos Amb'!$E$10="ZB3",AF27,IF('Envoltória e Pré-req dos Amb'!$E$10="ZB4",AN27,IF('Envoltória e Pré-req dos Amb'!$E$10="ZB5",AV27,IF('Envoltória e Pré-req dos Amb'!$E$10="ZB6",AZ27,IF('Envoltória e Pré-req dos Amb'!$E$10="ZB7",BD27,IF('Envoltória e Pré-req dos Amb'!$E$10="ZB8",AV27,"Escolha uma ZB"))))))))</f>
        <v>#DIV/0!</v>
      </c>
      <c r="H27" s="302" t="e">
        <f>IF('Envoltória e Pré-req dos Amb'!$E$10="ZB1",Q27,IF('Envoltória e Pré-req dos Amb'!$E$10="ZB2",Y27,IF('Envoltória e Pré-req dos Amb'!$E$10="ZB3",AG27,IF('Envoltória e Pré-req dos Amb'!$E$10="ZB4",AO27,IF('Envoltória e Pré-req dos Amb'!$E$10="ZB5",AW27,IF('Envoltória e Pré-req dos Amb'!$E$10="ZB6",BA27,IF('Envoltória e Pré-req dos Amb'!$E$10="ZB7",BE27,IF('Envoltória e Pré-req dos Amb'!$E$10="ZB8",AW27,"Escolha uma ZB"))))))))</f>
        <v>#DIV/0!</v>
      </c>
      <c r="I27" s="261" t="e">
        <f>IF('Envoltória e Pré-req dos Amb'!$E$10="ZB1",R27,IF('Envoltória e Pré-req dos Amb'!$E$10="ZB2",Z27,IF('Envoltória e Pré-req dos Amb'!$E$10="ZB3",AH27,IF('Envoltória e Pré-req dos Amb'!$E$10="ZB4",AP27,IF('Envoltória e Pré-req dos Amb'!$E$10="ZB5",AX27,IF('Envoltória e Pré-req dos Amb'!$E$10="ZB6",BB27,IF('Envoltória e Pré-req dos Amb'!$E$10="ZB7",BF27,IF('Envoltória e Pré-req dos Amb'!$E$10="ZB8",AX27,"Escolha uma ZB"))))))))</f>
        <v>#DIV/0!</v>
      </c>
      <c r="J27" s="309" t="e">
        <f>IF('Envoltória e Pré-req dos Amb'!$E$10="ZB1",S27,IF('Envoltória e Pré-req dos Amb'!$E$10="ZB2",AA27,IF('Envoltória e Pré-req dos Amb'!$E$10="ZB3",AI27,IF('Envoltória e Pré-req dos Amb'!$E$10="ZB4",AQ27,IF('Envoltória e Pré-req dos Amb'!$E$10="ZB5",0,IF('Envoltória e Pré-req dos Amb'!$E$10="ZB6",0,IF('Envoltória e Pré-req dos Amb'!$E$10="ZB7",0,IF('Envoltória e Pré-req dos Amb'!$E$10="ZB8",0,"Escolha uma ZB"))))))))</f>
        <v>#DIV/0!</v>
      </c>
      <c r="K27" s="266" t="e">
        <f>IF('Envoltória e Pré-req dos Amb'!$E$10="ZB1",T27,IF('Envoltória e Pré-req dos Amb'!$E$10="ZB2",AB27,IF('Envoltória e Pré-req dos Amb'!$E$10="ZB3",AJ27,IF('Envoltória e Pré-req dos Amb'!$E$10="ZB4",AR27,IF('Envoltória e Pré-req dos Amb'!$E$10="ZB5","Não se aplica",IF('Envoltória e Pré-req dos Amb'!$E$10="ZB6","Não se aplica",IF('Envoltória e Pré-req dos Amb'!$E$10="ZB7","Não se aplica",IF('Envoltória e Pré-req dos Amb'!$E$10="ZB8","Não se aplica","Escolha uma ZB"))))))))</f>
        <v>#DIV/0!</v>
      </c>
      <c r="L27" s="313" t="e">
        <f>IF('Envoltória e Pré-req dos Amb'!$E$10="ZB1",U27,IF('Envoltória e Pré-req dos Amb'!$E$10="ZB2",AC27,IF('Envoltória e Pré-req dos Amb'!$E$10="ZB3",AK27,IF('Envoltória e Pré-req dos Amb'!$E$10="ZB4",AS27,IF('Envoltória e Pré-req dos Amb'!$E$10="ZB5",0,IF('Envoltória e Pré-req dos Amb'!$E$10="ZB6",0,IF('Envoltória e Pré-req dos Amb'!$E$10="ZB7",0,IF('Envoltória e Pré-req dos Amb'!$E$10="ZB8",0,"Escolha uma ZB"))))))))</f>
        <v>#DIV/0!</v>
      </c>
      <c r="M27" s="262" t="e">
        <f>IF('Envoltória e Pré-req dos Amb'!$E$10="ZB1",V27,IF('Envoltória e Pré-req dos Amb'!$E$10="ZB2",AD27,IF('Envoltória e Pré-req dos Amb'!$E$10="ZB3",AL27,IF('Envoltória e Pré-req dos Amb'!$E$10="ZB4",AT27,IF('Envoltória e Pré-req dos Amb'!$E$10="ZB5","Não se aplica",IF('Envoltória e Pré-req dos Amb'!$E$10="ZB6","Não se aplica",IF('Envoltória e Pré-req dos Amb'!$E$10="ZB7","Não se aplica",IF('Envoltória e Pré-req dos Amb'!$E$10="ZB8","Não se aplica","Escolha uma ZB"))))))))</f>
        <v>#DIV/0!</v>
      </c>
      <c r="N27" s="230"/>
      <c r="O27" s="242"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 E27)*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 + E27)=0,0,1)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 + E27)*'Envoltória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27" s="238" t="e">
        <f>IF(O27&lt;ESCALAS!$B$5, "A", IF(O27&lt;ESCALAS!$B$6,"B", IF(O27&lt;ESCALAS!$B$7, "C", IF(O27&lt;ESCALAS!$B$8, "D", IF(O27&gt;ESCALAS!$B$8, "E", "")))))</f>
        <v>#DIV/0!</v>
      </c>
      <c r="Q27"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 E27)*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Amb'!E31 - E27)=0,0,1)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Amb'!E31 - E27)*'Envoltória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27" s="240" t="e">
        <f>IF(Q27&lt;ESCALAS!$B$5, "A", IF(Q27&lt;ESCALAS!$B$6,"B", IF(Q27&lt;ESCALAS!$B$7, "C", IF(Q27&lt;ESCALAS!$B$8, "D", IF(Q27&gt;ESCALAS!$B$8, "E", "")))))</f>
        <v>#DIV/0!</v>
      </c>
      <c r="S27"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 + E27)*'Envoltória e Pré-req dos Amb'!E32 * -48985 + 'Envoltória e Pré-req dos Amb'!E13 * 147203 + 'Envoltória e Pré-req dos Amb'!E18 * -136861 + ('Envoltória e Pré-req dos Amb'!E31 + E27)*'Envoltória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 + E27)*IMABS('Envoltória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E27) * 17484 + ('Envoltória e Pré-req dos Amb'!E31 + E27)*'Envoltória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27" s="239" t="e">
        <f>IF(S27&lt;ESCALAS!$B$25, "A", IF(S27&lt;ESCALAS!$B$26,"B", IF(S27&lt;ESCALAS!$B$27, "C", IF(S27&lt;ESCALAS!$B$28, "D", IF(S27&gt;ESCALAS!$B$28, "E", "")))))</f>
        <v>#DIV/0!</v>
      </c>
      <c r="U27"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Amb'!E31 - E27)*'Envoltória e Pré-req dos Amb'!E32 * -48985 + 'Envoltória e Pré-req dos Amb'!E13 * 147203 + 'Envoltória e Pré-req dos Amb'!E18 * -136861 + ('Envoltória e Pré-req dos Amb'!E31 - E27)*'Envoltória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Amb'!E31 - E27)*IMABS('Envoltória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E27) * 17484 + ('Envoltória e Pré-req dos Amb'!E31 - E27)*'Envoltória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27" s="271" t="e">
        <f>IF(U27&lt;ESCALAS!$B$25, "A", IF(U27&lt;ESCALAS!$B$26,"B", IF(U27&lt;ESCALAS!$B$27, "C", IF(U27&lt;ESCALAS!$B$28, "D", IF(U27&gt;ESCALAS!$B$28, "E", "")))))</f>
        <v>#DIV/0!</v>
      </c>
      <c r="W27"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 + E27)*IMABS(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E27)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 + E27)=0,0,1) * -441.3903064</f>
        <v>#DIV/0!</v>
      </c>
      <c r="X27" s="238" t="e">
        <f>IF(W27&lt;ESCALAS!$C$5, "A", IF(W27&lt;ESCALAS!$C$6,"B", IF(W27&lt;ESCALAS!$C$7, "C", IF(W27&lt;ESCALAS!$C$8, "D", IF(W27&gt;ESCALAS!$C$8, "E", "")))))</f>
        <v>#DIV/0!</v>
      </c>
      <c r="Y27"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Amb'!E31 - E27)*IMABS(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E27)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Amb'!E31 - E27)=0,0,1) * -441.3903064</f>
        <v>#DIV/0!</v>
      </c>
      <c r="Z27" s="240" t="e">
        <f>IF(Y27&lt;ESCALAS!$C$5, "A", IF(Y27&lt;ESCALAS!$C$6,"B", IF(Y27&lt;ESCALAS!$C$7, "C", IF(Y27&lt;ESCALAS!$C$8, "D", IF(Y27&gt;ESCALAS!$C$8, "E", "")))))</f>
        <v>#DIV/0!</v>
      </c>
      <c r="AA27"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 E27)* 'Envoltória e Pré-req dos Amb'!E32 * -10004 +  ('Envoltória e Pré-req dos Amb'!E31 + E27)*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E27)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27" s="239" t="e">
        <f>IF(AA27&lt;ESCALAS!$C$25, "A", IF(AA27&lt;ESCALAS!$C$26,"B", IF(AA27&lt;ESCALAS!$C$27, "C", IF(AA27&lt;ESCALAS!$C$28, "D", IF(AA27&gt;ESCALAS!$C$28, "E", "")))))</f>
        <v>#DIV/0!</v>
      </c>
      <c r="AC27"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 E27)* 'Envoltória e Pré-req dos Amb'!E32 * -10004 +  ('Envoltória e Pré-req dos Amb'!E31 - E27)*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E27)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27" s="271" t="e">
        <f>IF(AC27&lt;ESCALAS!$C$25, "A", IF(AC27&lt;ESCALAS!$C$26,"B", IF(AC27&lt;ESCALAS!$C$27, "C", IF(AC27&lt;ESCALAS!$C$28, "D", IF(AC27&gt;ESCALAS!$C$28, "E", "")))))</f>
        <v>#DIV/0!</v>
      </c>
      <c r="AE27"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 + E27)*IMABS(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 E27)*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27" s="238" t="e">
        <f>IF(AE27&lt;ESCALAS!$D$5, "A", IF(AE27&lt;ESCALAS!$D$6,"B", IF(AE27&lt;ESCALAS!$D$7, "C", IF(AE27&lt;ESCALAS!$D$8, "D", IF(AE27&gt;ESCALAS!$D$8, "E", "")))))</f>
        <v>#DIV/0!</v>
      </c>
      <c r="AG27"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Amb'!E31 - E27)*IMABS(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 E27)*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27" s="240" t="e">
        <f>IF(AG27&lt;ESCALAS!$D$5, "A", IF(AG27&lt;ESCALAS!$D$6,"B", IF(AG27&lt;ESCALAS!$D$7, "C", IF(AG27&lt;ESCALAS!$D$8, "D", IF(AG27&gt;ESCALAS!$D$8, "E", "")))))</f>
        <v>#DIV/0!</v>
      </c>
      <c r="AI27"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27" s="239" t="e">
        <f>IF(AI27&lt;ESCALAS!$D$25, "A", IF(AI27&lt;ESCALAS!$D$26,"B", IF(AI27&lt;ESCALAS!$D$27, "C", IF(AI27&lt;ESCALAS!$D$28, "D", IF(AI27&gt;ESCALAS!$D$28, "E", "")))))</f>
        <v>#DIV/0!</v>
      </c>
      <c r="AK27"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27" s="271" t="e">
        <f>IF(AK27&lt;ESCALAS!$D$25, "A", IF(AK27&lt;ESCALAS!$D$26,"B", IF(AK27&lt;ESCALAS!$D$27, "C", IF(AK27&lt;ESCALAS!$D$28, "D", IF(AK27&gt;ESCALAS!$D$28, "E", "")))))</f>
        <v>#DIV/0!</v>
      </c>
      <c r="AM27"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 + E27)*IMABS(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27" s="238" t="e">
        <f>IF(AM27&lt;ESCALAS!$E$5, "A", IF(AM27&lt;ESCALAS!$E$6,"B", IF(AM27&lt;ESCALAS!$E$7, "C", IF(AM27&lt;ESCALAS!$E$8, "D", IF(AM27&gt;ESCALAS!$E$8, "E", "")))))</f>
        <v>#DIV/0!</v>
      </c>
      <c r="AO27"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Amb'!E31 - E27)*IMABS(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27" s="240" t="e">
        <f>IF(AO27&lt;ESCALAS!$E$5, "A", IF(AO27&lt;ESCALAS!$E$6,"B", IF(AO27&lt;ESCALAS!$E$7, "C", IF(AO27&lt;ESCALAS!$E$8, "D", IF(AO27&gt;ESCALAS!$E$8, "E", "")))))</f>
        <v>#DIV/0!</v>
      </c>
      <c r="AQ27"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R27" s="239" t="str">
        <f>IF(AQ27&lt;ESCALAS!$E$25, "A", IF(AQ27&lt;ESCALAS!$E$26,"B", IF(AQ27&lt;ESCALAS!$E$27, "C", IF(AQ27&lt;ESCALAS!$E$28, "D", IF(AQ27&gt;ESCALAS!$E$28, "E", "")))))</f>
        <v>A</v>
      </c>
      <c r="AS27"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T27" s="271" t="str">
        <f>IF(AS27&lt;ESCALAS!$E$25, "A", IF(AS27&lt;ESCALAS!$E$26,"B", IF(AS27&lt;ESCALAS!$E$27, "C", IF(AS27&lt;ESCALAS!$E$28, "D", IF(AS27&gt;ESCALAS!$E$28, "E", "")))))</f>
        <v>A</v>
      </c>
      <c r="AU27"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 + E27)*IMABS(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27" s="238" t="e">
        <f>IF(AU27&lt;ESCALAS!$H$5, "A", IF(AU27&lt;ESCALAS!$H$6,"B", IF(AU27&lt;ESCALAS!$H$7, "C", IF(AU27&lt;ESCALAS!$H$8, "D", IF(AU27&gt;ESCALAS!$H$8, "E", "")))))</f>
        <v>#DIV/0!</v>
      </c>
      <c r="AW27"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Amb'!E31 - E27)*IMABS(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27" s="240" t="e">
        <f>IF(AW27&lt;ESCALAS!$H$5, "A", IF(AW27&lt;ESCALAS!$H$6,"B", IF(AW27&lt;ESCALAS!$H$7, "C", IF(AW27&lt;ESCALAS!$H$8, "D", IF(AW27&gt;ESCALAS!$H$8, "E", "")))))</f>
        <v>#DIV/0!</v>
      </c>
      <c r="AY27"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 + E27)*IMABS(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 E27)*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E27)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 + E27)=0,0,1) * -708.5751101</f>
        <v>#DIV/0!</v>
      </c>
      <c r="AZ27" s="238" t="e">
        <f>IF(AY27&lt;ESCALAS!$F$5, "A", IF(AY27&lt;ESCALAS!$F$6,"B", IF(AY27&lt;ESCALAS!$F$7, "C", IF(AY27&lt;ESCALAS!$F$8, "D", IF(AY27&gt;ESCALAS!$F$8, "E", "")))))</f>
        <v>#DIV/0!</v>
      </c>
      <c r="BA27"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Amb'!E31 - E27)*IMABS(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 E27)*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E27)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Amb'!E31 - E27)=0,0,1) * -708.5751101</f>
        <v>#DIV/0!</v>
      </c>
      <c r="BB27" s="240" t="e">
        <f>IF(BA27&lt;ESCALAS!$F$5, "A", IF(BA27&lt;ESCALAS!$F$6,"B", IF(BA27&lt;ESCALAS!$F$7, "C", IF(BA27&lt;ESCALAS!$F$8, "D", IF(BA27&gt;ESCALAS!$F$8, "E", "")))))</f>
        <v>#DIV/0!</v>
      </c>
      <c r="BC27"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 E27)*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27" s="238" t="e">
        <f>IF(BC27&lt;ESCALAS!$G$5, "A", IF(BC27&lt;ESCALAS!$G$6,"B", IF(BC27&lt;ESCALAS!$G$7, "C", IF(BC27&lt;ESCALAS!$G$8, "D", IF(BC27&gt;ESCALAS!$G$8, "E", "")))))</f>
        <v>#DIV/0!</v>
      </c>
      <c r="BE27"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 E27)*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27" s="240" t="e">
        <f>IF(BE27&lt;ESCALAS!$G$5, "A", IF(BE27&lt;ESCALAS!$G$6,"B", IF(BE27&lt;ESCALAS!$G$7, "C", IF(BE27&lt;ESCALAS!$G$8, "D", IF(BE27&gt;ESCALAS!$G$8, "E", "")))))</f>
        <v>#DIV/0!</v>
      </c>
    </row>
    <row r="28" spans="2:58" x14ac:dyDescent="0.2">
      <c r="B28" s="341" t="s">
        <v>3</v>
      </c>
      <c r="C28" s="103" t="s">
        <v>25</v>
      </c>
      <c r="D28" s="85">
        <v>0.25</v>
      </c>
      <c r="E28" s="283">
        <v>0.25</v>
      </c>
      <c r="F28" s="294" t="e">
        <f>IF('Envoltória e Pré-req dos Amb'!$E$10="ZB1",O28,IF('Envoltória e Pré-req dos Amb'!$E$10="ZB2",W28,IF('Envoltória e Pré-req dos Amb'!$E$10="ZB3",AE28,IF('Envoltória e Pré-req dos Amb'!$E$10="ZB4",AM28,IF('Envoltória e Pré-req dos Amb'!$E$10="ZB5",AU28,IF('Envoltória e Pré-req dos Amb'!$E$10="ZB6",AY28,IF('Envoltória e Pré-req dos Amb'!$E$10="ZB7",BC28,IF('Envoltória e Pré-req dos Amb'!$E$10="ZB8",AU28,"Escolha uma ZB"))))))))</f>
        <v>#DIV/0!</v>
      </c>
      <c r="G28" s="264" t="e">
        <f>IF('Envoltória e Pré-req dos Amb'!$E$10="ZB1",P28,IF('Envoltória e Pré-req dos Amb'!$E$10="ZB2",X28,IF('Envoltória e Pré-req dos Amb'!$E$10="ZB3",AF28,IF('Envoltória e Pré-req dos Amb'!$E$10="ZB4",AN28,IF('Envoltória e Pré-req dos Amb'!$E$10="ZB5",AV28,IF('Envoltória e Pré-req dos Amb'!$E$10="ZB6",AZ28,IF('Envoltória e Pré-req dos Amb'!$E$10="ZB7",BD28,IF('Envoltória e Pré-req dos Amb'!$E$10="ZB8",AV28,"Escolha uma ZB"))))))))</f>
        <v>#DIV/0!</v>
      </c>
      <c r="H28" s="300" t="e">
        <f>IF('Envoltória e Pré-req dos Amb'!$E$10="ZB1",Q28,IF('Envoltória e Pré-req dos Amb'!$E$10="ZB2",Y28,IF('Envoltória e Pré-req dos Amb'!$E$10="ZB3",AG28,IF('Envoltória e Pré-req dos Amb'!$E$10="ZB4",AO28,IF('Envoltória e Pré-req dos Amb'!$E$10="ZB5",AW28,IF('Envoltória e Pré-req dos Amb'!$E$10="ZB6",BA28,IF('Envoltória e Pré-req dos Amb'!$E$10="ZB7",BE28,IF('Envoltória e Pré-req dos Amb'!$E$10="ZB8",AW28,"Escolha uma ZB"))))))))</f>
        <v>#DIV/0!</v>
      </c>
      <c r="I28" s="257" t="e">
        <f>IF('Envoltória e Pré-req dos Amb'!$E$10="ZB1",R28,IF('Envoltória e Pré-req dos Amb'!$E$10="ZB2",Z28,IF('Envoltória e Pré-req dos Amb'!$E$10="ZB3",AH28,IF('Envoltória e Pré-req dos Amb'!$E$10="ZB4",AP28,IF('Envoltória e Pré-req dos Amb'!$E$10="ZB5",AX28,IF('Envoltória e Pré-req dos Amb'!$E$10="ZB6",BB28,IF('Envoltória e Pré-req dos Amb'!$E$10="ZB7",BF28,IF('Envoltória e Pré-req dos Amb'!$E$10="ZB8",AX28,"Escolha uma ZB"))))))))</f>
        <v>#DIV/0!</v>
      </c>
      <c r="J28" s="307" t="e">
        <f>IF('Envoltória e Pré-req dos Amb'!$E$10="ZB1",S28,IF('Envoltória e Pré-req dos Amb'!$E$10="ZB2",AA28,IF('Envoltória e Pré-req dos Amb'!$E$10="ZB3",AI28,IF('Envoltória e Pré-req dos Amb'!$E$10="ZB4",AQ28,IF('Envoltória e Pré-req dos Amb'!$E$10="ZB5",0,IF('Envoltória e Pré-req dos Amb'!$E$10="ZB6",0,IF('Envoltória e Pré-req dos Amb'!$E$10="ZB7",0,IF('Envoltória e Pré-req dos Amb'!$E$10="ZB8",0,"Escolha uma ZB"))))))))</f>
        <v>#DIV/0!</v>
      </c>
      <c r="K28" s="264" t="e">
        <f>IF('Envoltória e Pré-req dos Amb'!$E$10="ZB1",T28,IF('Envoltória e Pré-req dos Amb'!$E$10="ZB2",AB28,IF('Envoltória e Pré-req dos Amb'!$E$10="ZB3",AJ28,IF('Envoltória e Pré-req dos Amb'!$E$10="ZB4",AR28,IF('Envoltória e Pré-req dos Amb'!$E$10="ZB5","Não se aplica",IF('Envoltória e Pré-req dos Amb'!$E$10="ZB6","Não se aplica",IF('Envoltória e Pré-req dos Amb'!$E$10="ZB7","Não se aplica",IF('Envoltória e Pré-req dos Amb'!$E$10="ZB8","Não se aplica","Escolha uma ZB"))))))))</f>
        <v>#DIV/0!</v>
      </c>
      <c r="L28" s="311" t="e">
        <f>IF('Envoltória e Pré-req dos Amb'!$E$10="ZB1",U28,IF('Envoltória e Pré-req dos Amb'!$E$10="ZB2",AC28,IF('Envoltória e Pré-req dos Amb'!$E$10="ZB3",AK28,IF('Envoltória e Pré-req dos Amb'!$E$10="ZB4",AS28,IF('Envoltória e Pré-req dos Amb'!$E$10="ZB5",0,IF('Envoltória e Pré-req dos Amb'!$E$10="ZB6",0,IF('Envoltória e Pré-req dos Amb'!$E$10="ZB7",0,IF('Envoltória e Pré-req dos Amb'!$E$10="ZB8",0,"Escolha uma ZB"))))))))</f>
        <v>#DIV/0!</v>
      </c>
      <c r="M28" s="258" t="e">
        <f>IF('Envoltória e Pré-req dos Amb'!$E$10="ZB1",V28,IF('Envoltória e Pré-req dos Amb'!$E$10="ZB2",AD28,IF('Envoltória e Pré-req dos Amb'!$E$10="ZB3",AL28,IF('Envoltória e Pré-req dos Amb'!$E$10="ZB4",AT28,IF('Envoltória e Pré-req dos Amb'!$E$10="ZB5","Não se aplica",IF('Envoltória e Pré-req dos Amb'!$E$10="ZB6","Não se aplica",IF('Envoltória e Pré-req dos Amb'!$E$10="ZB7","Não se aplica",IF('Envoltória e Pré-req dos Amb'!$E$10="ZB8","Não se aplica","Escolha uma ZB"))))))))</f>
        <v>#DIV/0!</v>
      </c>
      <c r="N28" s="230"/>
      <c r="O28" s="242"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E28)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E28)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E28)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28" s="238" t="e">
        <f>IF(O28&lt;ESCALAS!$B$5, "A", IF(O28&lt;ESCALAS!$B$6,"B", IF(O28&lt;ESCALAS!$B$7, "C", IF(O28&lt;ESCALAS!$B$8, "D", IF(O28&gt;ESCALAS!$B$8, "E", "")))))</f>
        <v>#DIV/0!</v>
      </c>
      <c r="Q28"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E28)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E28)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E28)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28" s="240" t="e">
        <f>IF(Q28&lt;ESCALAS!$B$5, "A", IF(Q28&lt;ESCALAS!$B$6,"B", IF(Q28&lt;ESCALAS!$B$7, "C", IF(Q28&lt;ESCALAS!$B$8, "D", IF(Q28&gt;ESCALAS!$B$8, "E", "")))))</f>
        <v>#DIV/0!</v>
      </c>
      <c r="S28"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E28)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E28) * -43565 + 'Envoltória e Pré-req dos Amb'!E24*'Envoltória e Pré-req dos Amb'!E19 * 3414 + 'Envoltória e Pré-req dos Amb'!E25*'Envoltória e Pré-req dos Amb'!E19 * 3099 + 'Envoltória e Pré-req dos Amb'!E31*('Envoltória e Pré-req dos Amb'!E32 + E28)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E28) * -53393 + 'Envoltória e Pré-req dos Amb'!E29*('Envoltória e Pré-req dos Amb'!E32 + E28)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28" s="239" t="e">
        <f>IF(S28&lt;ESCALAS!$B$25, "A", IF(S28&lt;ESCALAS!$B$26,"B", IF(S28&lt;ESCALAS!$B$27, "C", IF(S28&lt;ESCALAS!$B$28, "D", IF(S28&gt;ESCALAS!$B$28, "E", "")))))</f>
        <v>#DIV/0!</v>
      </c>
      <c r="U28"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E28)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E28) * -43565 + 'Envoltória e Pré-req dos Amb'!E24*'Envoltória e Pré-req dos Amb'!E19 * 3414 + 'Envoltória e Pré-req dos Amb'!E25*'Envoltória e Pré-req dos Amb'!E19 * 3099 + 'Envoltória e Pré-req dos Amb'!E31*('Envoltória e Pré-req dos Amb'!E32 - E28)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E28) * -53393 + 'Envoltória e Pré-req dos Amb'!E29*('Envoltória e Pré-req dos Amb'!E32 - E28)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28" s="271" t="e">
        <f>IF(U28&lt;ESCALAS!$B$25, "A", IF(U28&lt;ESCALAS!$B$26,"B", IF(U28&lt;ESCALAS!$B$27, "C", IF(U28&lt;ESCALAS!$B$28, "D", IF(U28&gt;ESCALAS!$B$28, "E", "")))))</f>
        <v>#DIV/0!</v>
      </c>
      <c r="W28"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E28)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E28)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E28)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28" s="238" t="e">
        <f>IF(W28&lt;ESCALAS!$C$5, "A", IF(W28&lt;ESCALAS!$C$6,"B", IF(W28&lt;ESCALAS!$C$7, "C", IF(W28&lt;ESCALAS!$C$8, "D", IF(W28&gt;ESCALAS!$C$8, "E", "")))))</f>
        <v>#DIV/0!</v>
      </c>
      <c r="Y28"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E28)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E28)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E28)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28" s="240" t="e">
        <f>IF(Y28&lt;ESCALAS!$C$5, "A", IF(Y28&lt;ESCALAS!$C$6,"B", IF(Y28&lt;ESCALAS!$C$7, "C", IF(Y28&lt;ESCALAS!$C$8, "D", IF(Y28&gt;ESCALAS!$C$8, "E", "")))))</f>
        <v>#DIV/0!</v>
      </c>
      <c r="AA28"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E28)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E28)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E28)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28" s="239" t="e">
        <f>IF(AA28&lt;ESCALAS!$C$25, "A", IF(AA28&lt;ESCALAS!$C$26,"B", IF(AA28&lt;ESCALAS!$C$27, "C", IF(AA28&lt;ESCALAS!$C$28, "D", IF(AA28&gt;ESCALAS!$C$28, "E", "")))))</f>
        <v>#DIV/0!</v>
      </c>
      <c r="AC28"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E28)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E28)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E28)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28" s="271" t="e">
        <f>IF(AC28&lt;ESCALAS!$C$25, "A", IF(AC28&lt;ESCALAS!$C$26,"B", IF(AC28&lt;ESCALAS!$C$27, "C", IF(AC28&lt;ESCALAS!$C$28, "D", IF(AC28&gt;ESCALAS!$C$28, "E", "")))))</f>
        <v>#DIV/0!</v>
      </c>
      <c r="AE28"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E28)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E28)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E28) * 51.15300398 +  'Envoltória e Pré-req dos Amb'!E31* ('Envoltória e Pré-req dos Amb'!E32 + E28) * 55.42487968 +  'Envoltória e Pré-req dos Amb'!E28* ('Envoltória e Pré-req dos Amb'!E32 + E28) * 79.20949217 +  'Envoltória e Pré-req dos Amb'!E27* 'Envoltória e Pré-req dos Amb'!E19* 'Envoltória e Pré-req dos Amb'!E21 * 15.3350994 +  'Envoltória e Pré-req dos Amb'!E25 * 26.09247753 +  'Envoltória e Pré-req dos Amb'!E28*IMABS( 'Envoltória e Pré-req dos Amb'!E33-1) * -34.77773789</f>
        <v>#DIV/0!</v>
      </c>
      <c r="AF28" s="238" t="e">
        <f>IF(AE28&lt;ESCALAS!$D$5, "A", IF(AE28&lt;ESCALAS!$D$6,"B", IF(AE28&lt;ESCALAS!$D$7, "C", IF(AE28&lt;ESCALAS!$D$8, "D", IF(AE28&gt;ESCALAS!$D$8, "E", "")))))</f>
        <v>#DIV/0!</v>
      </c>
      <c r="AG28"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E28)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E28)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E28) * 51.15300398 +  'Envoltória e Pré-req dos Amb'!E31* ('Envoltória e Pré-req dos Amb'!E32 - E28) * 55.42487968 +  'Envoltória e Pré-req dos Amb'!E28* ('Envoltória e Pré-req dos Amb'!E32 - E28) * 79.20949217 +  'Envoltória e Pré-req dos Amb'!E27* 'Envoltória e Pré-req dos Amb'!E19* 'Envoltória e Pré-req dos Amb'!E21 * 15.3350994 +  'Envoltória e Pré-req dos Amb'!E25 * 26.09247753 +  'Envoltória e Pré-req dos Amb'!E28*IMABS( 'Envoltória e Pré-req dos Amb'!E33-1) * -34.77773789</f>
        <v>#DIV/0!</v>
      </c>
      <c r="AH28" s="240" t="e">
        <f>IF(AG28&lt;ESCALAS!$D$5, "A", IF(AG28&lt;ESCALAS!$D$6,"B", IF(AG28&lt;ESCALAS!$D$7, "C", IF(AG28&lt;ESCALAS!$D$8, "D", IF(AG28&gt;ESCALAS!$D$8, "E", "")))))</f>
        <v>#DIV/0!</v>
      </c>
      <c r="AI28"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E28)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28" s="239" t="e">
        <f>IF(AI28&lt;ESCALAS!$D$25, "A", IF(AI28&lt;ESCALAS!$D$26,"B", IF(AI28&lt;ESCALAS!$D$27, "C", IF(AI28&lt;ESCALAS!$D$28, "D", IF(AI28&gt;ESCALAS!$D$28, "E", "")))))</f>
        <v>#DIV/0!</v>
      </c>
      <c r="AK28"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E28)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28" s="271" t="e">
        <f>IF(AK28&lt;ESCALAS!$D$25, "A", IF(AK28&lt;ESCALAS!$D$26,"B", IF(AK28&lt;ESCALAS!$D$27, "C", IF(AK28&lt;ESCALAS!$D$28, "D", IF(AK28&gt;ESCALAS!$D$28, "E", "")))))</f>
        <v>#DIV/0!</v>
      </c>
      <c r="AM28"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E28)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E28)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28" s="238" t="e">
        <f>IF(AM28&lt;ESCALAS!$E$5, "A", IF(AM28&lt;ESCALAS!$E$6,"B", IF(AM28&lt;ESCALAS!$E$7, "C", IF(AM28&lt;ESCALAS!$E$8, "D", IF(AM28&gt;ESCALAS!$E$8, "E", "")))))</f>
        <v>#DIV/0!</v>
      </c>
      <c r="AO28"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E28)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E28)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28" s="240" t="e">
        <f>IF(AO28&lt;ESCALAS!$E$5, "A", IF(AO28&lt;ESCALAS!$E$6,"B", IF(AO28&lt;ESCALAS!$E$7, "C", IF(AO28&lt;ESCALAS!$E$8, "D", IF(AO28&gt;ESCALAS!$E$8, "E", "")))))</f>
        <v>#DIV/0!</v>
      </c>
      <c r="AQ28"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E28)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-0.83132888439999997</v>
      </c>
      <c r="AR28" s="239" t="str">
        <f>IF(AQ28&lt;ESCALAS!$E$25, "A", IF(AQ28&lt;ESCALAS!$E$26,"B", IF(AQ28&lt;ESCALAS!$E$27, "C", IF(AQ28&lt;ESCALAS!$E$28, "D", IF(AQ28&gt;ESCALAS!$E$28, "E", "")))))</f>
        <v>A</v>
      </c>
      <c r="AS28"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E28)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6.298581960000002E-2</v>
      </c>
      <c r="AT28" s="271" t="str">
        <f>IF(AS28&lt;ESCALAS!$E$25, "A", IF(AS28&lt;ESCALAS!$E$26,"B", IF(AS28&lt;ESCALAS!$E$27, "C", IF(AS28&lt;ESCALAS!$E$28, "D", IF(AS28&gt;ESCALAS!$E$28, "E", "")))))</f>
        <v>A</v>
      </c>
      <c r="AU28"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E28)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E28) * 98.27866737 +  'Envoltória e Pré-req dos Amb'!E29* ('Envoltória e Pré-req dos Amb'!E32 + E28) * 112.5051338 +  'Envoltória e Pré-req dos Amb'!E30* ('Envoltória e Pré-req dos Amb'!E32 + E28) * 93.0504001 + IF( 'Envoltória e Pré-req dos Amb'!E29=0,0,1) * -586.451797</f>
        <v>#DIV/0!</v>
      </c>
      <c r="AV28" s="238" t="e">
        <f>IF(AU28&lt;ESCALAS!$H$5, "A", IF(AU28&lt;ESCALAS!$H$6,"B", IF(AU28&lt;ESCALAS!$H$7, "C", IF(AU28&lt;ESCALAS!$H$8, "D", IF(AU28&gt;ESCALAS!$H$8, "E", "")))))</f>
        <v>#DIV/0!</v>
      </c>
      <c r="AW28"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E28)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E28) * 98.27866737 +  'Envoltória e Pré-req dos Amb'!E29* ('Envoltória e Pré-req dos Amb'!E32 - E28) * 112.5051338 +  'Envoltória e Pré-req dos Amb'!E30* ('Envoltória e Pré-req dos Amb'!E32 - E28) * 93.0504001 + IF( 'Envoltória e Pré-req dos Amb'!E29=0,0,1) * -586.451797</f>
        <v>#DIV/0!</v>
      </c>
      <c r="AX28" s="240" t="e">
        <f>IF(AW28&lt;ESCALAS!$H$5, "A", IF(AW28&lt;ESCALAS!$H$6,"B", IF(AW28&lt;ESCALAS!$H$7, "C", IF(AW28&lt;ESCALAS!$H$8, "D", IF(AW28&gt;ESCALAS!$H$8, "E", "")))))</f>
        <v>#DIV/0!</v>
      </c>
      <c r="AY28"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E28)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E28)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E28) * 431.5161264 + IF( 'Envoltória e Pré-req dos Amb'!E28=0,0,1) * -1237.022913 +  'Envoltória e Pré-req dos Amb'!E35* 'Envoltória e Pré-req dos Amb'!E12 * -46.92716963 +  'Envoltória e Pré-req dos Amb'!E29* ('Envoltória e Pré-req dos Amb'!E32 + E28) * 338.6678735 +  'Envoltória e Pré-req dos Amb'!E31* ('Envoltória e Pré-req dos Amb'!E32 + E28)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28" s="238" t="e">
        <f>IF(AY28&lt;ESCALAS!$F$5, "A", IF(AY28&lt;ESCALAS!$F$6,"B", IF(AY28&lt;ESCALAS!$F$7, "C", IF(AY28&lt;ESCALAS!$F$8, "D", IF(AY28&gt;ESCALAS!$F$8, "E", "")))))</f>
        <v>#DIV/0!</v>
      </c>
      <c r="BA28"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E28)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E28)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E28) * 431.5161264 + IF( 'Envoltória e Pré-req dos Amb'!E28=0,0,1) * -1237.022913 +  'Envoltória e Pré-req dos Amb'!E35* 'Envoltória e Pré-req dos Amb'!E12 * -46.92716963 +  'Envoltória e Pré-req dos Amb'!E29* ('Envoltória e Pré-req dos Amb'!E32 - E28) * 338.6678735 +  'Envoltória e Pré-req dos Amb'!E31* ('Envoltória e Pré-req dos Amb'!E32 - E28)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28" s="240" t="e">
        <f>IF(BA28&lt;ESCALAS!$F$5, "A", IF(BA28&lt;ESCALAS!$F$6,"B", IF(BA28&lt;ESCALAS!$F$7, "C", IF(BA28&lt;ESCALAS!$F$8, "D", IF(BA28&gt;ESCALAS!$F$8, "E", "")))))</f>
        <v>#DIV/0!</v>
      </c>
      <c r="BC28"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E28)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E28)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28" s="238" t="e">
        <f>IF(BC28&lt;ESCALAS!$G$5, "A", IF(BC28&lt;ESCALAS!$G$6,"B", IF(BC28&lt;ESCALAS!$G$7, "C", IF(BC28&lt;ESCALAS!$G$8, "D", IF(BC28&gt;ESCALAS!$G$8, "E", "")))))</f>
        <v>#DIV/0!</v>
      </c>
      <c r="BE28"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E28)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E28)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28" s="240" t="e">
        <f>IF(BE28&lt;ESCALAS!$G$5, "A", IF(BE28&lt;ESCALAS!$G$6,"B", IF(BE28&lt;ESCALAS!$G$7, "C", IF(BE28&lt;ESCALAS!$G$8, "D", IF(BE28&gt;ESCALAS!$G$8, "E", "")))))</f>
        <v>#DIV/0!</v>
      </c>
    </row>
    <row r="29" spans="2:58" ht="13.5" thickBot="1" x14ac:dyDescent="0.25">
      <c r="B29" s="343"/>
      <c r="C29" s="102" t="s">
        <v>26</v>
      </c>
      <c r="D29" s="84">
        <v>0.1</v>
      </c>
      <c r="E29" s="285">
        <v>0.1</v>
      </c>
      <c r="F29" s="296" t="e">
        <f>IF('Envoltória e Pré-req dos Amb'!$E$10="ZB1",O29,IF('Envoltória e Pré-req dos Amb'!$E$10="ZB2",W29,IF('Envoltória e Pré-req dos Amb'!$E$10="ZB3",AE29,IF('Envoltória e Pré-req dos Amb'!$E$10="ZB4",AM29,IF('Envoltória e Pré-req dos Amb'!$E$10="ZB5",AU29,IF('Envoltória e Pré-req dos Amb'!$E$10="ZB6",AY29,IF('Envoltória e Pré-req dos Amb'!$E$10="ZB7",BC29,IF('Envoltória e Pré-req dos Amb'!$E$10="ZB8",AU29,"Escolha uma ZB"))))))))</f>
        <v>#DIV/0!</v>
      </c>
      <c r="G29" s="266" t="e">
        <f>IF('Envoltória e Pré-req dos Amb'!$E$10="ZB1",P29,IF('Envoltória e Pré-req dos Amb'!$E$10="ZB2",X29,IF('Envoltória e Pré-req dos Amb'!$E$10="ZB3",AF29,IF('Envoltória e Pré-req dos Amb'!$E$10="ZB4",AN29,IF('Envoltória e Pré-req dos Amb'!$E$10="ZB5",AV29,IF('Envoltória e Pré-req dos Amb'!$E$10="ZB6",AZ29,IF('Envoltória e Pré-req dos Amb'!$E$10="ZB7",BD29,IF('Envoltória e Pré-req dos Amb'!$E$10="ZB8",AV29,"Escolha uma ZB"))))))))</f>
        <v>#DIV/0!</v>
      </c>
      <c r="H29" s="302" t="e">
        <f>IF('Envoltória e Pré-req dos Amb'!$E$10="ZB1",Q29,IF('Envoltória e Pré-req dos Amb'!$E$10="ZB2",Y29,IF('Envoltória e Pré-req dos Amb'!$E$10="ZB3",AG29,IF('Envoltória e Pré-req dos Amb'!$E$10="ZB4",AO29,IF('Envoltória e Pré-req dos Amb'!$E$10="ZB5",AW29,IF('Envoltória e Pré-req dos Amb'!$E$10="ZB6",BA29,IF('Envoltória e Pré-req dos Amb'!$E$10="ZB7",BE29,IF('Envoltória e Pré-req dos Amb'!$E$10="ZB8",AW29,"Escolha uma ZB"))))))))</f>
        <v>#DIV/0!</v>
      </c>
      <c r="I29" s="261" t="e">
        <f>IF('Envoltória e Pré-req dos Amb'!$E$10="ZB1",R29,IF('Envoltória e Pré-req dos Amb'!$E$10="ZB2",Z29,IF('Envoltória e Pré-req dos Amb'!$E$10="ZB3",AH29,IF('Envoltória e Pré-req dos Amb'!$E$10="ZB4",AP29,IF('Envoltória e Pré-req dos Amb'!$E$10="ZB5",AX29,IF('Envoltória e Pré-req dos Amb'!$E$10="ZB6",BB29,IF('Envoltória e Pré-req dos Amb'!$E$10="ZB7",BF29,IF('Envoltória e Pré-req dos Amb'!$E$10="ZB8",AX29,"Escolha uma ZB"))))))))</f>
        <v>#DIV/0!</v>
      </c>
      <c r="J29" s="309" t="e">
        <f>IF('Envoltória e Pré-req dos Amb'!$E$10="ZB1",S29,IF('Envoltória e Pré-req dos Amb'!$E$10="ZB2",AA29,IF('Envoltória e Pré-req dos Amb'!$E$10="ZB3",AI29,IF('Envoltória e Pré-req dos Amb'!$E$10="ZB4",AQ29,IF('Envoltória e Pré-req dos Amb'!$E$10="ZB5",0,IF('Envoltória e Pré-req dos Amb'!$E$10="ZB6",0,IF('Envoltória e Pré-req dos Amb'!$E$10="ZB7",0,IF('Envoltória e Pré-req dos Amb'!$E$10="ZB8",0,"Escolha uma ZB"))))))))</f>
        <v>#DIV/0!</v>
      </c>
      <c r="K29" s="266" t="e">
        <f>IF('Envoltória e Pré-req dos Amb'!$E$10="ZB1",T29,IF('Envoltória e Pré-req dos Amb'!$E$10="ZB2",AB29,IF('Envoltória e Pré-req dos Amb'!$E$10="ZB3",AJ29,IF('Envoltória e Pré-req dos Amb'!$E$10="ZB4",AR29,IF('Envoltória e Pré-req dos Amb'!$E$10="ZB5","Não se aplica",IF('Envoltória e Pré-req dos Amb'!$E$10="ZB6","Não se aplica",IF('Envoltória e Pré-req dos Amb'!$E$10="ZB7","Não se aplica",IF('Envoltória e Pré-req dos Amb'!$E$10="ZB8","Não se aplica","Escolha uma ZB"))))))))</f>
        <v>#DIV/0!</v>
      </c>
      <c r="L29" s="313" t="e">
        <f>IF('Envoltória e Pré-req dos Amb'!$E$10="ZB1",U29,IF('Envoltória e Pré-req dos Amb'!$E$10="ZB2",AC29,IF('Envoltória e Pré-req dos Amb'!$E$10="ZB3",AK29,IF('Envoltória e Pré-req dos Amb'!$E$10="ZB4",AS29,IF('Envoltória e Pré-req dos Amb'!$E$10="ZB5",0,IF('Envoltória e Pré-req dos Amb'!$E$10="ZB6",0,IF('Envoltória e Pré-req dos Amb'!$E$10="ZB7",0,IF('Envoltória e Pré-req dos Amb'!$E$10="ZB8",0,"Escolha uma ZB"))))))))</f>
        <v>#DIV/0!</v>
      </c>
      <c r="M29" s="262" t="e">
        <f>IF('Envoltória e Pré-req dos Amb'!$E$10="ZB1",V29,IF('Envoltória e Pré-req dos Amb'!$E$10="ZB2",AD29,IF('Envoltória e Pré-req dos Amb'!$E$10="ZB3",AL29,IF('Envoltória e Pré-req dos Amb'!$E$10="ZB4",AT29,IF('Envoltória e Pré-req dos Amb'!$E$10="ZB5","Não se aplica",IF('Envoltória e Pré-req dos Amb'!$E$10="ZB6","Não se aplica",IF('Envoltória e Pré-req dos Amb'!$E$10="ZB7","Não se aplica",IF('Envoltória e Pré-req dos Amb'!$E$10="ZB8","Não se aplica","Escolha uma ZB"))))))))</f>
        <v>#DIV/0!</v>
      </c>
      <c r="N29" s="230"/>
      <c r="O29" s="243"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E29) * -66.67213625 + ('Envoltória e Pré-req dos Amb'!E17*(IF('Envoltória e Pré-req dos Amb'!E13=0,0,1))) * -0.060740971 + ('Envoltória e Pré-req dos Amb'!E18*(IF('Envoltória e Pré-req dos Amb'!E13=0,0,1))) * 56.9220963 + 'Envoltória e Pré-req dos Amb'!E31* IMABS(('Envoltória e Pré-req dos Amb'!E33 + E29)-1)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E29)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E29) * 2.278496034 + 'Envoltória e Pré-req dos Amb'!E31*('Envoltória e Pré-req dos Amb'!E33 + E29)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29" s="238" t="e">
        <f>IF(O29&lt;ESCALAS!$B$5, "A", IF(O29&lt;ESCALAS!$B$6,"B", IF(O29&lt;ESCALAS!$B$7, "C", IF(O29&lt;ESCALAS!$B$8, "D", IF(O29&gt;ESCALAS!$B$8, "E", "")))))</f>
        <v>#DIV/0!</v>
      </c>
      <c r="Q29" s="23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E29) * -66.67213625 + ('Envoltória e Pré-req dos Amb'!E17*(IF('Envoltória e Pré-req dos Amb'!E13=0,0,1))) * -0.060740971 + ('Envoltória e Pré-req dos Amb'!E18*(IF('Envoltória e Pré-req dos Amb'!E13=0,0,1))) * 56.9220963 + 'Envoltória e Pré-req dos Amb'!E31* IMABS(('Envoltória e Pré-req dos Amb'!E33 - E29)-1)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E29)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E29) * 2.278496034 + 'Envoltória e Pré-req dos Amb'!E31*('Envoltória e Pré-req dos Amb'!E33 - E29)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29" s="240" t="e">
        <f>IF(Q29&lt;ESCALAS!$B$5, "A", IF(Q29&lt;ESCALAS!$B$6,"B", IF(Q29&lt;ESCALAS!$B$7, "C", IF(Q29&lt;ESCALAS!$B$8, "D", IF(Q29&gt;ESCALAS!$B$8, "E", "")))))</f>
        <v>#DIV/0!</v>
      </c>
      <c r="S29" s="243"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E29)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 + E29)-1)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E29) * -20537 + IF('Envoltória e Pré-req dos Amb'!E25=0,0,1) * -17090 + 'Envoltória e Pré-req dos Amb'!E28*IMABS(('Envoltória e Pré-req dos Amb'!E33 + E29)-1) * -14061 + 'Envoltória e Pré-req dos Amb'!E28*('Envoltória e Pré-req dos Amb'!E33 + E29) * -21052 + 'Envoltória e Pré-req dos Amb'!E28 * 11213)/1000) /'Envoltória e Pré-req dos Amb'!E12</f>
        <v>#DIV/0!</v>
      </c>
      <c r="T29" s="239" t="e">
        <f>IF(S29&lt;ESCALAS!$B$25, "A", IF(S29&lt;ESCALAS!$B$26,"B", IF(S29&lt;ESCALAS!$B$27, "C", IF(S29&lt;ESCALAS!$B$28, "D", IF(S29&gt;ESCALAS!$B$28, "E", "")))))</f>
        <v>#DIV/0!</v>
      </c>
      <c r="U29" s="239"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E29)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Amb'!E33 - E29)-1)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E29) * -20537 + IF('Envoltória e Pré-req dos Amb'!E25=0,0,1) * -17090 + 'Envoltória e Pré-req dos Amb'!E28*IMABS(('Envoltória e Pré-req dos Amb'!E33 - E29)-1) * -14061 + 'Envoltória e Pré-req dos Amb'!E28*('Envoltória e Pré-req dos Amb'!E33 - E29) * -21052 + 'Envoltória e Pré-req dos Amb'!E28 * 11213)/1000) /'Envoltória e Pré-req dos Amb'!E12</f>
        <v>#DIV/0!</v>
      </c>
      <c r="V29" s="271" t="e">
        <f>IF(U29&lt;ESCALAS!$B$25, "A", IF(U29&lt;ESCALAS!$B$26,"B", IF(U29&lt;ESCALAS!$B$27, "C", IF(U29&lt;ESCALAS!$B$28, "D", IF(U29&gt;ESCALAS!$B$28, "E", "")))))</f>
        <v>#DIV/0!</v>
      </c>
      <c r="W29" s="270" t="e">
        <f xml:space="preserve"> 6000.849121 +  'Envoltória e Pré-req dos Amb'!E22 * 2386.299094 +  'Envoltória e Pré-req dos Amb'!E14* 'Envoltória e Pré-req dos Amb'!E12 * -14.38949644 +  ('Envoltória e Pré-req dos Amb'!E33 + E29)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 + E29)-1)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 + E29)-1)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E29) * 80.41372738 +  'Envoltória e Pré-req dos Amb'!E31 * 63.18155943 +  'Envoltória e Pré-req dos Amb'!E35 * -269.4568913 +  'Envoltória e Pré-req dos Amb'!E29* ('Envoltória e Pré-req dos Amb'!E33 + E29) * 109.2535194 +  'Envoltória e Pré-req dos Amb'!E28* ('Envoltória e Pré-req dos Amb'!E33 + E29)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29" s="238" t="e">
        <f>IF(W29&lt;ESCALAS!$C$5, "A", IF(W29&lt;ESCALAS!$C$6,"B", IF(W29&lt;ESCALAS!$C$7, "C", IF(W29&lt;ESCALAS!$C$8, "D", IF(W29&gt;ESCALAS!$C$8, "E", "")))))</f>
        <v>#DIV/0!</v>
      </c>
      <c r="Y29" s="270" t="e">
        <f xml:space="preserve"> 6000.849121 +  'Envoltória e Pré-req dos Amb'!E22 * 2386.299094 +  'Envoltória e Pré-req dos Amb'!E14* 'Envoltória e Pré-req dos Amb'!E12 * -14.38949644 +  ('Envoltória e Pré-req dos Amb'!E33 - E29)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Amb'!E33 - E29)-1)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Amb'!E33 - E29)-1)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E29) * 80.41372738 +  'Envoltória e Pré-req dos Amb'!E31 * 63.18155943 +  'Envoltória e Pré-req dos Amb'!E35 * -269.4568913 +  'Envoltória e Pré-req dos Amb'!E29* ('Envoltória e Pré-req dos Amb'!E33 - E29) * 109.2535194 +  'Envoltória e Pré-req dos Amb'!E28* ('Envoltória e Pré-req dos Amb'!E33 - E29)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29" s="240" t="e">
        <f>IF(Y29&lt;ESCALAS!$C$5, "A", IF(Y29&lt;ESCALAS!$C$6,"B", IF(Y29&lt;ESCALAS!$C$7, "C", IF(Y29&lt;ESCALAS!$C$8, "D", IF(Y29&gt;ESCALAS!$C$8, "E", "")))))</f>
        <v>#DIV/0!</v>
      </c>
      <c r="AA29"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E29)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E29) * -7024 +  'Envoltória e Pré-req dos Amb'!E29*IMABS( ('Envoltória e Pré-req dos Amb'!E33 + E29)-1) * -3591)/1000)/ 'Envoltória e Pré-req dos Amb'!E12</f>
        <v>#DIV/0!</v>
      </c>
      <c r="AB29" s="239" t="e">
        <f>IF(AA29&lt;ESCALAS!$C$25, "A", IF(AA29&lt;ESCALAS!$C$26,"B", IF(AA29&lt;ESCALAS!$C$27, "C", IF(AA29&lt;ESCALAS!$C$28, "D", IF(AA29&gt;ESCALAS!$C$28, "E", "")))))</f>
        <v>#DIV/0!</v>
      </c>
      <c r="AC29"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E29)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E29) * -7024 +  'Envoltória e Pré-req dos Amb'!E29*IMABS( ('Envoltória e Pré-req dos Amb'!E33 - E29)-1) * -3591)/1000)/ 'Envoltória e Pré-req dos Amb'!E12</f>
        <v>#DIV/0!</v>
      </c>
      <c r="AD29" s="271" t="e">
        <f>IF(AC29&lt;ESCALAS!$C$25, "A", IF(AC29&lt;ESCALAS!$C$26,"B", IF(AC29&lt;ESCALAS!$C$27, "C", IF(AC29&lt;ESCALAS!$C$28, "D", IF(AC29&gt;ESCALAS!$C$28, "E", "")))))</f>
        <v>#DIV/0!</v>
      </c>
      <c r="AE29" s="270" t="e">
        <f xml:space="preserve"> 836.4188333 +  'Envoltória e Pré-req dos Amb'!E22 * 1002.285324 + ( 'Envoltória e Pré-req dos Amb'!E18*(IF( 'Envoltória e Pré-req dos Amb'!E13=0,0,1))) * 1248.761508 +  ('Envoltória e Pré-req dos Amb'!E33 + E29)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 + E29)-1) * 16.98561422 +  'Envoltória e Pré-req dos Amb'!E30* 'Envoltória e Pré-req dos Amb'!E32 * 70.17581615 +  'Envoltória e Pré-req dos Amb'!E20 * -0.042617325 +  'Envoltória e Pré-req dos Amb'!E29*IMABS( ('Envoltória e Pré-req dos Amb'!E33 + E29)-1)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E29)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 + E29)-1) * -34.77773789</f>
        <v>#DIV/0!</v>
      </c>
      <c r="AF29" s="238" t="e">
        <f>IF(AE29&lt;ESCALAS!$D$5, "A", IF(AE29&lt;ESCALAS!$D$6,"B", IF(AE29&lt;ESCALAS!$D$7, "C", IF(AE29&lt;ESCALAS!$D$8, "D", IF(AE29&gt;ESCALAS!$D$8, "E", "")))))</f>
        <v>#DIV/0!</v>
      </c>
      <c r="AG29" s="270" t="e">
        <f xml:space="preserve"> 836.4188333 +  'Envoltória e Pré-req dos Amb'!E22 * 1002.285324 + ( 'Envoltória e Pré-req dos Amb'!E18*(IF( 'Envoltória e Pré-req dos Amb'!E13=0,0,1))) * 1248.761508 +  ('Envoltória e Pré-req dos Amb'!E33 - E29)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Amb'!E33 - E29)-1) * 16.98561422 +  'Envoltória e Pré-req dos Amb'!E30* 'Envoltória e Pré-req dos Amb'!E32 * 70.17581615 +  'Envoltória e Pré-req dos Amb'!E20 * -0.042617325 +  'Envoltória e Pré-req dos Amb'!E29*IMABS( ('Envoltória e Pré-req dos Amb'!E33 - E29)-1)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E29)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Amb'!E33 - E29)-1) * -34.77773789</f>
        <v>#DIV/0!</v>
      </c>
      <c r="AH29" s="240" t="e">
        <f>IF(AG29&lt;ESCALAS!$D$5, "A", IF(AG29&lt;ESCALAS!$D$6,"B", IF(AG29&lt;ESCALAS!$D$7, "C", IF(AG29&lt;ESCALAS!$D$8, "D", IF(AG29&gt;ESCALAS!$D$8, "E", "")))))</f>
        <v>#DIV/0!</v>
      </c>
      <c r="AI29"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29" s="239" t="e">
        <f>IF(AI29&lt;ESCALAS!$D$25, "A", IF(AI29&lt;ESCALAS!$D$26,"B", IF(AI29&lt;ESCALAS!$D$27, "C", IF(AI29&lt;ESCALAS!$D$28, "D", IF(AI29&gt;ESCALAS!$D$28, "E", "")))))</f>
        <v>#DIV/0!</v>
      </c>
      <c r="AK29"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29" s="271" t="e">
        <f>IF(AK29&lt;ESCALAS!$D$25, "A", IF(AK29&lt;ESCALAS!$D$26,"B", IF(AK29&lt;ESCALAS!$D$27, "C", IF(AK29&lt;ESCALAS!$D$28, "D", IF(AK29&gt;ESCALAS!$D$28, "E", "")))))</f>
        <v>#DIV/0!</v>
      </c>
      <c r="AM29" s="270" t="e">
        <f xml:space="preserve"> 641.187885 +  'Envoltória e Pré-req dos Amb'!E22 * 748.0024 + ( 'Envoltória e Pré-req dos Amb'!E18*(IF( 'Envoltória e Pré-req dos Amb'!E13=0,0,1))) * 548.8264099 +  ('Envoltória e Pré-req dos Amb'!E33 + E29)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 + E29)-1)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 + E29)-1)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E29) * 16.689804 +  'Envoltória e Pré-req dos Amb'!E25 * 26.97532108 +  'Envoltória e Pré-req dos Amb'!E27* 'Envoltória e Pré-req dos Amb'!E19* 'Envoltória e Pré-req dos Amb'!E21 * 8.355821307 +  'Envoltória e Pré-req dos Amb'!E30*IMABS( ('Envoltória e Pré-req dos Amb'!E33 + E29)-1) * -13.36922974</f>
        <v>#DIV/0!</v>
      </c>
      <c r="AN29" s="238" t="e">
        <f>IF(AM29&lt;ESCALAS!$E$5, "A", IF(AM29&lt;ESCALAS!$E$6,"B", IF(AM29&lt;ESCALAS!$E$7, "C", IF(AM29&lt;ESCALAS!$E$8, "D", IF(AM29&gt;ESCALAS!$E$8, "E", "")))))</f>
        <v>#DIV/0!</v>
      </c>
      <c r="AO29" s="270" t="e">
        <f xml:space="preserve"> 641.187885 +  'Envoltória e Pré-req dos Amb'!E22 * 748.0024 + ( 'Envoltória e Pré-req dos Amb'!E18*(IF( 'Envoltória e Pré-req dos Amb'!E13=0,0,1))) * 548.8264099 +  ('Envoltória e Pré-req dos Amb'!E33 - E29)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Amb'!E33 - E29)-1)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Amb'!E33 - E29)-1)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E29) * 16.689804 +  'Envoltória e Pré-req dos Amb'!E25 * 26.97532108 +  'Envoltória e Pré-req dos Amb'!E27* 'Envoltória e Pré-req dos Amb'!E19* 'Envoltória e Pré-req dos Amb'!E21 * 8.355821307 +  'Envoltória e Pré-req dos Amb'!E30*IMABS( ('Envoltória e Pré-req dos Amb'!E33 - E29)-1) * -13.36922974</f>
        <v>#DIV/0!</v>
      </c>
      <c r="AP29" s="240" t="e">
        <f>IF(AO29&lt;ESCALAS!$E$5, "A", IF(AO29&lt;ESCALAS!$E$6,"B", IF(AO29&lt;ESCALAS!$E$7, "C", IF(AO29&lt;ESCALAS!$E$8, "D", IF(AO29&gt;ESCALAS!$E$8, "E", "")))))</f>
        <v>#DIV/0!</v>
      </c>
      <c r="AQ29" s="270">
        <f>(-384.1715324 + 'Envoltória e Pré-req dos Amb'!E22 * 1948.761766 + 'Envoltória e Pré-req dos Amb'!E12 * 223.8194969 + ('Envoltória e Pré-req dos Amb'!E33 + E29)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-0.29922027188</v>
      </c>
      <c r="AR29" s="239" t="str">
        <f>IF(AQ29&lt;ESCALAS!$E$25, "A", IF(AQ29&lt;ESCALAS!$E$26,"B", IF(AQ29&lt;ESCALAS!$E$27, "C", IF(AQ29&lt;ESCALAS!$E$28, "D", IF(AQ29&gt;ESCALAS!$E$28, "E", "")))))</f>
        <v>A</v>
      </c>
      <c r="AS29" s="270">
        <f>(-384.1715324 + 'Envoltória e Pré-req dos Amb'!E22 * 1948.761766 + 'Envoltória e Pré-req dos Amb'!E12 * 223.8194969 + ('Envoltória e Pré-req dos Amb'!E33 - E29)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-0.46912279291999998</v>
      </c>
      <c r="AT29" s="271" t="str">
        <f>IF(AS29&lt;ESCALAS!$E$25, "A", IF(AS29&lt;ESCALAS!$E$26,"B", IF(AS29&lt;ESCALAS!$E$27, "C", IF(AS29&lt;ESCALAS!$E$28, "D", IF(AS29&gt;ESCALAS!$E$28, "E", "")))))</f>
        <v>A</v>
      </c>
      <c r="AU29" s="270" t="e">
        <f xml:space="preserve"> 4957.705139 +  ('Envoltória e Pré-req dos Amb'!E33 + E29)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 + E29)-1) * 267.5110256 +  'Envoltória e Pré-req dos Amb'!E32 * -1923.144973 +  'Envoltória e Pré-req dos Amb'!E29*IMABS( ('Envoltória e Pré-req dos Amb'!E33 + E29)-1)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 + E29)-1) * 66.46885617 +  'Envoltória e Pré-req dos Amb'!E28* ('Envoltória e Pré-req dos Amb'!E33 + E29)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29" s="238" t="e">
        <f>IF(AU29&lt;ESCALAS!$H$5, "A", IF(AU29&lt;ESCALAS!$H$6,"B", IF(AU29&lt;ESCALAS!$H$7, "C", IF(AU29&lt;ESCALAS!$H$8, "D", IF(AU29&gt;ESCALAS!$H$8, "E", "")))))</f>
        <v>#DIV/0!</v>
      </c>
      <c r="AW29" s="270" t="e">
        <f xml:space="preserve"> 4957.705139 +  ('Envoltória e Pré-req dos Amb'!E33 - E29)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Amb'!E33 - E29)-1) * 267.5110256 +  'Envoltória e Pré-req dos Amb'!E32 * -1923.144973 +  'Envoltória e Pré-req dos Amb'!E29*IMABS( ('Envoltória e Pré-req dos Amb'!E33 - E29)-1)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Amb'!E33 - E29)-1) * 66.46885617 +  'Envoltória e Pré-req dos Amb'!E28* ('Envoltória e Pré-req dos Amb'!E33 - E29)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29" s="240" t="e">
        <f>IF(AW29&lt;ESCALAS!$H$5, "A", IF(AW29&lt;ESCALAS!$H$6,"B", IF(AW29&lt;ESCALAS!$H$7, "C", IF(AW29&lt;ESCALAS!$H$8, "D", IF(AW29&gt;ESCALAS!$H$8, "E", "")))))</f>
        <v>#DIV/0!</v>
      </c>
      <c r="AY29" s="270" t="e">
        <f xml:space="preserve"> 2761.081043 +  'Envoltória e Pré-req dos Amb'!E22 * 3125.513889 + ( 'Envoltória e Pré-req dos Amb'!E18*(IF( 'Envoltória e Pré-req dos Amb'!E13=0,0,1))) * 3942.257458 +  ('Envoltória e Pré-req dos Amb'!E33 + E29)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 + E29)=0,1,0)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 + E29)-1)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29" s="238" t="e">
        <f>IF(AY29&lt;ESCALAS!$F$5, "A", IF(AY29&lt;ESCALAS!$F$6,"B", IF(AY29&lt;ESCALAS!$F$7, "C", IF(AY29&lt;ESCALAS!$F$8, "D", IF(AY29&gt;ESCALAS!$F$8, "E", "")))))</f>
        <v>#DIV/0!</v>
      </c>
      <c r="BA29" s="270" t="e">
        <f xml:space="preserve"> 2761.081043 +  'Envoltória e Pré-req dos Amb'!E22 * 3125.513889 + ( 'Envoltória e Pré-req dos Amb'!E18*(IF( 'Envoltória e Pré-req dos Amb'!E13=0,0,1))) * 3942.257458 +  ('Envoltória e Pré-req dos Amb'!E33 - E29)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Amb'!E33 - E29)=0,1,0)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Amb'!E33 - E29)-1)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29" s="240" t="e">
        <f>IF(BA29&lt;ESCALAS!$F$5, "A", IF(BA29&lt;ESCALAS!$F$6,"B", IF(BA29&lt;ESCALAS!$F$7, "C", IF(BA29&lt;ESCALAS!$F$8, "D", IF(BA29&gt;ESCALAS!$F$8, "E", "")))))</f>
        <v>#DIV/0!</v>
      </c>
      <c r="BC29" s="270" t="e">
        <f xml:space="preserve"> 16195.93769 +  ('Envoltória e Pré-req dos Amb'!E33 + E29)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 + E29)-1)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E29)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29" s="238" t="e">
        <f>IF(BC29&lt;ESCALAS!$G$5, "A", IF(BC29&lt;ESCALAS!$G$6,"B", IF(BC29&lt;ESCALAS!$G$7, "C", IF(BC29&lt;ESCALAS!$G$8, "D", IF(BC29&gt;ESCALAS!$G$8, "E", "")))))</f>
        <v>#DIV/0!</v>
      </c>
      <c r="BE29" s="270" t="e">
        <f xml:space="preserve"> 16195.93769 +  ('Envoltória e Pré-req dos Amb'!E33 - E29)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Amb'!E33 - E29)-1)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E29)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29" s="240" t="e">
        <f>IF(BE29&lt;ESCALAS!$G$5, "A", IF(BE29&lt;ESCALAS!$G$6,"B", IF(BE29&lt;ESCALAS!$G$7, "C", IF(BE29&lt;ESCALAS!$G$8, "D", IF(BE29&gt;ESCALAS!$G$8, "E", "")))))</f>
        <v>#DIV/0!</v>
      </c>
    </row>
    <row r="30" spans="2:58" ht="13.5" customHeight="1" x14ac:dyDescent="0.2">
      <c r="B30" s="341" t="s">
        <v>13</v>
      </c>
      <c r="C30" s="276" t="s">
        <v>28</v>
      </c>
      <c r="D30" s="85">
        <v>5</v>
      </c>
      <c r="E30" s="283">
        <v>5</v>
      </c>
      <c r="F30" s="297" t="e">
        <f>IF('Envoltória e Pré-req dos Amb'!$E$10="ZB1",O30,IF('Envoltória e Pré-req dos Amb'!$E$10="ZB2",W30,IF('Envoltória e Pré-req dos Amb'!$E$10="ZB3",AE30,IF('Envoltória e Pré-req dos Amb'!$E$10="ZB4",AM30,IF('Envoltória e Pré-req dos Amb'!$E$10="ZB5",AU30,IF('Envoltória e Pré-req dos Amb'!$E$10="ZB6",AY30,IF('Envoltória e Pré-req dos Amb'!$E$10="ZB7",BC30,IF('Envoltória e Pré-req dos Amb'!$E$10="ZB8",AU30,"Escolha uma ZB"))))))))</f>
        <v>#DIV/0!</v>
      </c>
      <c r="G30" s="264" t="e">
        <f>IF('Envoltória e Pré-req dos Amb'!$E$10="ZB1",P30,IF('Envoltória e Pré-req dos Amb'!$E$10="ZB2",X30,IF('Envoltória e Pré-req dos Amb'!$E$10="ZB3",AF30,IF('Envoltória e Pré-req dos Amb'!$E$10="ZB4",AN30,IF('Envoltória e Pré-req dos Amb'!$E$10="ZB5",AV30,IF('Envoltória e Pré-req dos Amb'!$E$10="ZB6",AZ30,IF('Envoltória e Pré-req dos Amb'!$E$10="ZB7",BD30,IF('Envoltória e Pré-req dos Amb'!$E$10="ZB8",AV30,"Escolha uma ZB"))))))))</f>
        <v>#DIV/0!</v>
      </c>
      <c r="H30" s="303" t="e">
        <f>IF('Envoltória e Pré-req dos Amb'!$E$10="ZB1",Q30,IF('Envoltória e Pré-req dos Amb'!$E$10="ZB2",Y30,IF('Envoltória e Pré-req dos Amb'!$E$10="ZB3",AG30,IF('Envoltória e Pré-req dos Amb'!$E$10="ZB4",AO30,IF('Envoltória e Pré-req dos Amb'!$E$10="ZB5",AW30,IF('Envoltória e Pré-req dos Amb'!$E$10="ZB6",BA30,IF('Envoltória e Pré-req dos Amb'!$E$10="ZB7",BE30,IF('Envoltória e Pré-req dos Amb'!$E$10="ZB8",AW30,"Escolha uma ZB"))))))))</f>
        <v>#DIV/0!</v>
      </c>
      <c r="I30" s="257" t="e">
        <f>IF('Envoltória e Pré-req dos Amb'!$E$10="ZB1",R30,IF('Envoltória e Pré-req dos Amb'!$E$10="ZB2",Z30,IF('Envoltória e Pré-req dos Amb'!$E$10="ZB3",AH30,IF('Envoltória e Pré-req dos Amb'!$E$10="ZB4",AP30,IF('Envoltória e Pré-req dos Amb'!$E$10="ZB5",AX30,IF('Envoltória e Pré-req dos Amb'!$E$10="ZB6",BB30,IF('Envoltória e Pré-req dos Amb'!$E$10="ZB7",BF30,IF('Envoltória e Pré-req dos Amb'!$E$10="ZB8",AX30,"Escolha uma ZB"))))))))</f>
        <v>#DIV/0!</v>
      </c>
      <c r="J30" s="307" t="e">
        <f>IF('Envoltória e Pré-req dos Amb'!$E$10="ZB1",S30,IF('Envoltória e Pré-req dos Amb'!$E$10="ZB2",AA30,IF('Envoltória e Pré-req dos Amb'!$E$10="ZB3",AI30,IF('Envoltória e Pré-req dos Amb'!$E$10="ZB4",AQ30,IF('Envoltória e Pré-req dos Amb'!$E$10="ZB5",0,IF('Envoltória e Pré-req dos Amb'!$E$10="ZB6",0,IF('Envoltória e Pré-req dos Amb'!$E$10="ZB7",0,IF('Envoltória e Pré-req dos Amb'!$E$10="ZB8",0,"Escolha uma ZB"))))))))</f>
        <v>#DIV/0!</v>
      </c>
      <c r="K30" s="264" t="e">
        <f>IF('Envoltória e Pré-req dos Amb'!$E$10="ZB1",T30,IF('Envoltória e Pré-req dos Amb'!$E$10="ZB2",AB30,IF('Envoltória e Pré-req dos Amb'!$E$10="ZB3",AJ30,IF('Envoltória e Pré-req dos Amb'!$E$10="ZB4",AR30,IF('Envoltória e Pré-req dos Amb'!$E$10="ZB5","Não se aplica",IF('Envoltória e Pré-req dos Amb'!$E$10="ZB6","Não se aplica",IF('Envoltória e Pré-req dos Amb'!$E$10="ZB7","Não se aplica",IF('Envoltória e Pré-req dos Amb'!$E$10="ZB8","Não se aplica","Escolha uma ZB"))))))))</f>
        <v>#DIV/0!</v>
      </c>
      <c r="L30" s="311" t="e">
        <f>IF('Envoltória e Pré-req dos Amb'!$E$10="ZB1",U30,IF('Envoltória e Pré-req dos Amb'!$E$10="ZB2",AC30,IF('Envoltória e Pré-req dos Amb'!$E$10="ZB3",AK30,IF('Envoltória e Pré-req dos Amb'!$E$10="ZB4",AS30,IF('Envoltória e Pré-req dos Amb'!$E$10="ZB5",0,IF('Envoltória e Pré-req dos Amb'!$E$10="ZB6",0,IF('Envoltória e Pré-req dos Amb'!$E$10="ZB7",0,IF('Envoltória e Pré-req dos Amb'!$E$10="ZB8",0,"Escolha uma ZB"))))))))</f>
        <v>#DIV/0!</v>
      </c>
      <c r="M30" s="258" t="e">
        <f>IF('Envoltória e Pré-req dos Amb'!$E$10="ZB1",V30,IF('Envoltória e Pré-req dos Amb'!$E$10="ZB2",AD30,IF('Envoltória e Pré-req dos Amb'!$E$10="ZB3",AL30,IF('Envoltória e Pré-req dos Amb'!$E$10="ZB4",AT30,IF('Envoltória e Pré-req dos Amb'!$E$10="ZB5","Não se aplica",IF('Envoltória e Pré-req dos Amb'!$E$10="ZB6","Não se aplica",IF('Envoltória e Pré-req dos Amb'!$E$10="ZB7","Não se aplica",IF('Envoltória e Pré-req dos Amb'!$E$10="ZB8","Não se aplica","Escolha uma ZB"))))))))</f>
        <v>#DIV/0!</v>
      </c>
      <c r="N30" s="230"/>
      <c r="O30" s="242"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30" s="238" t="e">
        <f>IF(O30&lt;ESCALAS!$B$5, "A", IF(O30&lt;ESCALAS!$B$6,"B", IF(O30&lt;ESCALAS!$B$7, "C", IF(O30&lt;ESCALAS!$B$8, "D", IF(O30&gt;ESCALAS!$B$8, "E", "")))))</f>
        <v>#DIV/0!</v>
      </c>
      <c r="Q30" s="270"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30" s="240" t="e">
        <f>IF(Q30&lt;ESCALAS!$B$5, "A", IF(Q30&lt;ESCALAS!$B$6,"B", IF(Q30&lt;ESCALAS!$B$7, "C", IF(Q30&lt;ESCALAS!$B$8, "D", IF(Q30&gt;ESCALAS!$B$8, "E", "")))))</f>
        <v>#DIV/0!</v>
      </c>
      <c r="S30" s="243" t="e">
        <f>(( 298700 + 'Envoltória e Pré-req dos Amb'!E35*'Envoltória e Pré-req dos Amb'!E12 * 621 + 'Envoltória e Pré-req dos Amb'!E15*'Envoltória e Pré-req dos Amb'!E12 * 8314 + 'Envoltória e Pré-req dos Amb'!E37 * -198260 + ('Envoltória e Pré-req dos Amb'!E34 + E30)*'Envoltória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E30)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30" s="239" t="e">
        <f>IF(S30&lt;ESCALAS!$B$25, "A", IF(S30&lt;ESCALAS!$B$26,"B", IF(S30&lt;ESCALAS!$B$27, "C", IF(S30&lt;ESCALAS!$B$28, "D", IF(S30&gt;ESCALAS!$B$28, "E", "")))))</f>
        <v>#DIV/0!</v>
      </c>
      <c r="U30" s="239" t="e">
        <f>(( 298700 + 'Envoltória e Pré-req dos Amb'!E35*'Envoltória e Pré-req dos Amb'!E12 * 621 + 'Envoltória e Pré-req dos Amb'!E15*'Envoltória e Pré-req dos Amb'!E12 * 8314 + 'Envoltória e Pré-req dos Amb'!E37 * -198260 + ('Envoltória e Pré-req dos Amb'!E34 - E30)*'Envoltória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E30)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30" s="271" t="e">
        <f>IF(U30&lt;ESCALAS!$B$25, "A", IF(U30&lt;ESCALAS!$B$26,"B", IF(U30&lt;ESCALAS!$B$27, "C", IF(U30&lt;ESCALAS!$B$28, "D", IF(U30&gt;ESCALAS!$B$28, "E", "")))))</f>
        <v>#DIV/0!</v>
      </c>
      <c r="W30"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E30)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 E30)* 'Envoltória e Pré-req dos Amb'!E20 * -0.002204483 + IF( 'Envoltória e Pré-req dos Amb'!E27=0,0,1) * 1010.646464 +  'Envoltória e Pré-req dos Amb'!E27 * -58.40278041 + IF( 'Envoltória e Pré-req dos Amb'!E31=0,0,1) * -441.3903064</f>
        <v>#DIV/0!</v>
      </c>
      <c r="X30" s="238" t="e">
        <f>IF(W30&lt;ESCALAS!$C$5, "A", IF(W30&lt;ESCALAS!$C$6,"B", IF(W30&lt;ESCALAS!$C$7, "C", IF(W30&lt;ESCALAS!$C$8, "D", IF(W30&gt;ESCALAS!$C$8, "E", "")))))</f>
        <v>#DIV/0!</v>
      </c>
      <c r="Y30"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E30)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 E30)* 'Envoltória e Pré-req dos Amb'!E20 * -0.002204483 + IF( 'Envoltória e Pré-req dos Amb'!E27=0,0,1) * 1010.646464 +  'Envoltória e Pré-req dos Amb'!E27 * -58.40278041 + IF( 'Envoltória e Pré-req dos Amb'!E31=0,0,1) * -441.3903064</f>
        <v>#DIV/0!</v>
      </c>
      <c r="Z30" s="240" t="e">
        <f>IF(Y30&lt;ESCALAS!$C$5, "A", IF(Y30&lt;ESCALAS!$C$6,"B", IF(Y30&lt;ESCALAS!$C$7, "C", IF(Y30&lt;ESCALAS!$C$8, "D", IF(Y30&gt;ESCALAS!$C$8, "E", "")))))</f>
        <v>#DIV/0!</v>
      </c>
      <c r="AA30"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 E30)*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E30)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30" s="239" t="e">
        <f>IF(AA30&lt;ESCALAS!$C$25, "A", IF(AA30&lt;ESCALAS!$C$26,"B", IF(AA30&lt;ESCALAS!$C$27, "C", IF(AA30&lt;ESCALAS!$C$28, "D", IF(AA30&gt;ESCALAS!$C$28, "E", "")))))</f>
        <v>#DIV/0!</v>
      </c>
      <c r="AC30" s="270"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 E30)*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E30)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30" s="271" t="e">
        <f>IF(AC30&lt;ESCALAS!$C$25, "A", IF(AC30&lt;ESCALAS!$C$26,"B", IF(AC30&lt;ESCALAS!$C$27, "C", IF(AC30&lt;ESCALAS!$C$28, "D", IF(AC30&gt;ESCALAS!$C$28, "E", "")))))</f>
        <v>#DIV/0!</v>
      </c>
      <c r="AE30"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 E30)*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E30)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30" s="238" t="e">
        <f>IF(AE30&lt;ESCALAS!$D$5, "A", IF(AE30&lt;ESCALAS!$D$6,"B", IF(AE30&lt;ESCALAS!$D$7, "C", IF(AE30&lt;ESCALAS!$D$8, "D", IF(AE30&gt;ESCALAS!$D$8, "E", "")))))</f>
        <v>#DIV/0!</v>
      </c>
      <c r="AG30"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 E30)*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E30)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30" s="240" t="e">
        <f>IF(AG30&lt;ESCALAS!$D$5, "A", IF(AG30&lt;ESCALAS!$D$6,"B", IF(AG30&lt;ESCALAS!$D$7, "C", IF(AG30&lt;ESCALAS!$D$8, "D", IF(AG30&gt;ESCALAS!$D$8, "E", "")))))</f>
        <v>#DIV/0!</v>
      </c>
      <c r="AI30"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30" s="239" t="e">
        <f>IF(AI30&lt;ESCALAS!$D$25, "A", IF(AI30&lt;ESCALAS!$D$26,"B", IF(AI30&lt;ESCALAS!$D$27, "C", IF(AI30&lt;ESCALAS!$D$28, "D", IF(AI30&gt;ESCALAS!$D$28, "E", "")))))</f>
        <v>#DIV/0!</v>
      </c>
      <c r="AK30"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30" s="271" t="e">
        <f>IF(AK30&lt;ESCALAS!$D$25, "A", IF(AK30&lt;ESCALAS!$D$26,"B", IF(AK30&lt;ESCALAS!$D$27, "C", IF(AK30&lt;ESCALAS!$D$28, "D", IF(AK30&gt;ESCALAS!$D$28, "E", "")))))</f>
        <v>#DIV/0!</v>
      </c>
      <c r="AM30"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 E30)*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E30)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30" s="238" t="e">
        <f>IF(AM30&lt;ESCALAS!$E$5, "A", IF(AM30&lt;ESCALAS!$E$6,"B", IF(AM30&lt;ESCALAS!$E$7, "C", IF(AM30&lt;ESCALAS!$E$8, "D", IF(AM30&gt;ESCALAS!$E$8, "E", "")))))</f>
        <v>#DIV/0!</v>
      </c>
      <c r="AO30"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 E30)*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E30)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30" s="240" t="e">
        <f>IF(AO30&lt;ESCALAS!$E$5, "A", IF(AO30&lt;ESCALAS!$E$6,"B", IF(AO30&lt;ESCALAS!$E$7, "C", IF(AO30&lt;ESCALAS!$E$8, "D", IF(AO30&gt;ESCALAS!$E$8, "E", "")))))</f>
        <v>#DIV/0!</v>
      </c>
      <c r="AQ30"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R30" s="239" t="str">
        <f>IF(AQ30&lt;ESCALAS!$E$25, "A", IF(AQ30&lt;ESCALAS!$E$26,"B", IF(AQ30&lt;ESCALAS!$E$27, "C", IF(AQ30&lt;ESCALAS!$E$28, "D", IF(AQ30&gt;ESCALAS!$E$28, "E", "")))))</f>
        <v>A</v>
      </c>
      <c r="AS30"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T30" s="271" t="str">
        <f>IF(AS30&lt;ESCALAS!$E$25, "A", IF(AS30&lt;ESCALAS!$E$26,"B", IF(AS30&lt;ESCALAS!$E$27, "C", IF(AS30&lt;ESCALAS!$E$28, "D", IF(AS30&gt;ESCALAS!$E$28, "E", "")))))</f>
        <v>A</v>
      </c>
      <c r="AU30"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E30)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30" s="238" t="e">
        <f>IF(AU30&lt;ESCALAS!$H$5, "A", IF(AU30&lt;ESCALAS!$H$6,"B", IF(AU30&lt;ESCALAS!$H$7, "C", IF(AU30&lt;ESCALAS!$H$8, "D", IF(AU30&gt;ESCALAS!$H$8, "E", "")))))</f>
        <v>#DIV/0!</v>
      </c>
      <c r="AW30"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E30)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30" s="240" t="e">
        <f>IF(AW30&lt;ESCALAS!$H$5, "A", IF(AW30&lt;ESCALAS!$H$6,"B", IF(AW30&lt;ESCALAS!$H$7, "C", IF(AW30&lt;ESCALAS!$H$8, "D", IF(AW30&gt;ESCALAS!$H$8, "E", "")))))</f>
        <v>#DIV/0!</v>
      </c>
      <c r="AY30"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E30)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 E30)*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30" s="238" t="e">
        <f>IF(AY30&lt;ESCALAS!$F$5, "A", IF(AY30&lt;ESCALAS!$F$6,"B", IF(AY30&lt;ESCALAS!$F$7, "C", IF(AY30&lt;ESCALAS!$F$8, "D", IF(AY30&gt;ESCALAS!$F$8, "E", "")))))</f>
        <v>#DIV/0!</v>
      </c>
      <c r="BA30"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E30)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 E30)*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30" s="240" t="e">
        <f>IF(BA30&lt;ESCALAS!$F$5, "A", IF(BA30&lt;ESCALAS!$F$6,"B", IF(BA30&lt;ESCALAS!$F$7, "C", IF(BA30&lt;ESCALAS!$F$8, "D", IF(BA30&gt;ESCALAS!$F$8, "E", "")))))</f>
        <v>#DIV/0!</v>
      </c>
      <c r="BC30"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 E30)*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E30)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30" s="238" t="e">
        <f>IF(BC30&lt;ESCALAS!$G$5, "A", IF(BC30&lt;ESCALAS!$G$6,"B", IF(BC30&lt;ESCALAS!$G$7, "C", IF(BC30&lt;ESCALAS!$G$8, "D", IF(BC30&gt;ESCALAS!$G$8, "E", "")))))</f>
        <v>#DIV/0!</v>
      </c>
      <c r="BE30"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 E30)*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E30)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30" s="240" t="e">
        <f>IF(BE30&lt;ESCALAS!$G$5, "A", IF(BE30&lt;ESCALAS!$G$6,"B", IF(BE30&lt;ESCALAS!$G$7, "C", IF(BE30&lt;ESCALAS!$G$8, "D", IF(BE30&gt;ESCALAS!$G$8, "E", "")))))</f>
        <v>#DIV/0!</v>
      </c>
    </row>
    <row r="31" spans="2:58" ht="13.5" thickBot="1" x14ac:dyDescent="0.25">
      <c r="B31" s="343"/>
      <c r="C31" s="277" t="s">
        <v>27</v>
      </c>
      <c r="D31" s="84">
        <v>0.2</v>
      </c>
      <c r="E31" s="285">
        <v>0.2</v>
      </c>
      <c r="F31" s="296" t="e">
        <f>IF('Envoltória e Pré-req dos Amb'!$E$10="ZB1",O31,IF('Envoltória e Pré-req dos Amb'!$E$10="ZB2",W31,IF('Envoltória e Pré-req dos Amb'!$E$10="ZB3",AE31,IF('Envoltória e Pré-req dos Amb'!$E$10="ZB4",AM31,IF('Envoltória e Pré-req dos Amb'!$E$10="ZB5",AU31,IF('Envoltória e Pré-req dos Amb'!$E$10="ZB6",AY31,IF('Envoltória e Pré-req dos Amb'!$E$10="ZB7",BC31,IF('Envoltória e Pré-req dos Amb'!$E$10="ZB8",AU31,"Escolha uma ZB"))))))))</f>
        <v>#DIV/0!</v>
      </c>
      <c r="G31" s="266" t="e">
        <f>IF('Envoltória e Pré-req dos Amb'!$E$10="ZB1",P31,IF('Envoltória e Pré-req dos Amb'!$E$10="ZB2",X31,IF('Envoltória e Pré-req dos Amb'!$E$10="ZB3",AF31,IF('Envoltória e Pré-req dos Amb'!$E$10="ZB4",AN31,IF('Envoltória e Pré-req dos Amb'!$E$10="ZB5",AV31,IF('Envoltória e Pré-req dos Amb'!$E$10="ZB6",AZ31,IF('Envoltória e Pré-req dos Amb'!$E$10="ZB7",BD31,IF('Envoltória e Pré-req dos Amb'!$E$10="ZB8",AV31,"Escolha uma ZB"))))))))</f>
        <v>#DIV/0!</v>
      </c>
      <c r="H31" s="302" t="e">
        <f>IF('Envoltória e Pré-req dos Amb'!$E$10="ZB1",Q31,IF('Envoltória e Pré-req dos Amb'!$E$10="ZB2",Y31,IF('Envoltória e Pré-req dos Amb'!$E$10="ZB3",AG31,IF('Envoltória e Pré-req dos Amb'!$E$10="ZB4",AO31,IF('Envoltória e Pré-req dos Amb'!$E$10="ZB5",AW31,IF('Envoltória e Pré-req dos Amb'!$E$10="ZB6",BA31,IF('Envoltória e Pré-req dos Amb'!$E$10="ZB7",BE31,IF('Envoltória e Pré-req dos Amb'!$E$10="ZB8",AW31,"Escolha uma ZB"))))))))</f>
        <v>#DIV/0!</v>
      </c>
      <c r="I31" s="261" t="e">
        <f>IF('Envoltória e Pré-req dos Amb'!$E$10="ZB1",R31,IF('Envoltória e Pré-req dos Amb'!$E$10="ZB2",Z31,IF('Envoltória e Pré-req dos Amb'!$E$10="ZB3",AH31,IF('Envoltória e Pré-req dos Amb'!$E$10="ZB4",AP31,IF('Envoltória e Pré-req dos Amb'!$E$10="ZB5",AX31,IF('Envoltória e Pré-req dos Amb'!$E$10="ZB6",BB31,IF('Envoltória e Pré-req dos Amb'!$E$10="ZB7",BF31,IF('Envoltória e Pré-req dos Amb'!$E$10="ZB8",AX31,"Escolha uma ZB"))))))))</f>
        <v>#DIV/0!</v>
      </c>
      <c r="J31" s="309" t="e">
        <f>IF('Envoltória e Pré-req dos Amb'!$E$10="ZB1",S31,IF('Envoltória e Pré-req dos Amb'!$E$10="ZB2",AA31,IF('Envoltória e Pré-req dos Amb'!$E$10="ZB3",AI31,IF('Envoltória e Pré-req dos Amb'!$E$10="ZB4",AQ31,IF('Envoltória e Pré-req dos Amb'!$E$10="ZB5",0,IF('Envoltória e Pré-req dos Amb'!$E$10="ZB6",0,IF('Envoltória e Pré-req dos Amb'!$E$10="ZB7",0,IF('Envoltória e Pré-req dos Amb'!$E$10="ZB8",0,"Escolha uma ZB"))))))))</f>
        <v>#DIV/0!</v>
      </c>
      <c r="K31" s="266" t="e">
        <f>IF('Envoltória e Pré-req dos Amb'!$E$10="ZB1",T31,IF('Envoltória e Pré-req dos Amb'!$E$10="ZB2",AB31,IF('Envoltória e Pré-req dos Amb'!$E$10="ZB3",AJ31,IF('Envoltória e Pré-req dos Amb'!$E$10="ZB4",AR31,IF('Envoltória e Pré-req dos Amb'!$E$10="ZB5","Não se aplica",IF('Envoltória e Pré-req dos Amb'!$E$10="ZB6","Não se aplica",IF('Envoltória e Pré-req dos Amb'!$E$10="ZB7","Não se aplica",IF('Envoltória e Pré-req dos Amb'!$E$10="ZB8","Não se aplica","Escolha uma ZB"))))))))</f>
        <v>#DIV/0!</v>
      </c>
      <c r="L31" s="313" t="e">
        <f>IF('Envoltória e Pré-req dos Amb'!$E$10="ZB1",U31,IF('Envoltória e Pré-req dos Amb'!$E$10="ZB2",AC31,IF('Envoltória e Pré-req dos Amb'!$E$10="ZB3",AK31,IF('Envoltória e Pré-req dos Amb'!$E$10="ZB4",AS31,IF('Envoltória e Pré-req dos Amb'!$E$10="ZB5",0,IF('Envoltória e Pré-req dos Amb'!$E$10="ZB6",0,IF('Envoltória e Pré-req dos Amb'!$E$10="ZB7",0,IF('Envoltória e Pré-req dos Amb'!$E$10="ZB8",0,"Escolha uma ZB"))))))))</f>
        <v>#DIV/0!</v>
      </c>
      <c r="M31" s="262" t="e">
        <f>IF('Envoltória e Pré-req dos Amb'!$E$10="ZB1",V31,IF('Envoltória e Pré-req dos Amb'!$E$10="ZB2",AD31,IF('Envoltória e Pré-req dos Amb'!$E$10="ZB3",AL31,IF('Envoltória e Pré-req dos Amb'!$E$10="ZB4",AT31,IF('Envoltória e Pré-req dos Amb'!$E$10="ZB5","Não se aplica",IF('Envoltória e Pré-req dos Amb'!$E$10="ZB6","Não se aplica",IF('Envoltória e Pré-req dos Amb'!$E$10="ZB7","Não se aplica",IF('Envoltória e Pré-req dos Amb'!$E$10="ZB8","Não se aplica","Escolha uma ZB"))))))))</f>
        <v>#DIV/0!</v>
      </c>
      <c r="N31" s="230"/>
      <c r="O31" s="243" t="e">
        <f xml:space="preserve"> 94.05223724 + 'Envoltória e Pré-req dos Amb'!E22 * 123.0187663 + ('Envoltória e Pré-req dos Amb'!E35 + E31)/'Envoltória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E31)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31" s="238" t="e">
        <f>IF(O31&lt;ESCALAS!$B$5, "A", IF(O31&lt;ESCALAS!$B$6,"B", IF(O31&lt;ESCALAS!$B$7, "C", IF(O31&lt;ESCALAS!$B$8, "D", IF(O31&gt;ESCALAS!$B$8, "E", "")))))</f>
        <v>#DIV/0!</v>
      </c>
      <c r="Q31" s="239" t="e">
        <f xml:space="preserve"> 94.05223724 + 'Envoltória e Pré-req dos Amb'!E22 * 123.0187663 + ('Envoltória e Pré-req dos Amb'!E35 - E31)/'Envoltória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E31)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31" s="240" t="e">
        <f>IF(Q31&lt;ESCALAS!$B$5, "A", IF(Q31&lt;ESCALAS!$B$6,"B", IF(Q31&lt;ESCALAS!$B$7, "C", IF(Q31&lt;ESCALAS!$B$8, "D", IF(Q31&gt;ESCALAS!$B$8, "E", "")))))</f>
        <v>#DIV/0!</v>
      </c>
      <c r="S31" s="243" t="e">
        <f>(( 298700 + ('Envoltória e Pré-req dos Amb'!E35 + E31)*'Envoltória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E31)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31" s="239" t="e">
        <f>IF(S31&lt;ESCALAS!$B$25, "A", IF(S31&lt;ESCALAS!$B$26,"B", IF(S31&lt;ESCALAS!$B$27, "C", IF(S31&lt;ESCALAS!$B$28, "D", IF(S31&gt;ESCALAS!$B$28, "E", "")))))</f>
        <v>#DIV/0!</v>
      </c>
      <c r="U31" s="239" t="e">
        <f>(( 298700 + ('Envoltória e Pré-req dos Amb'!E35 - E31)*'Envoltória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E31)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31" s="271" t="e">
        <f>IF(U31&lt;ESCALAS!$B$25, "A", IF(U31&lt;ESCALAS!$B$26,"B", IF(U31&lt;ESCALAS!$B$27, "C", IF(U31&lt;ESCALAS!$B$28, "D", IF(U31&gt;ESCALAS!$B$28, "E", "")))))</f>
        <v>#DIV/0!</v>
      </c>
      <c r="W31"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 E31)/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E31)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31" s="238" t="e">
        <f>IF(W31&lt;ESCALAS!$C$5, "A", IF(W31&lt;ESCALAS!$C$6,"B", IF(W31&lt;ESCALAS!$C$7, "C", IF(W31&lt;ESCALAS!$C$8, "D", IF(W31&gt;ESCALAS!$C$8, "E", "")))))</f>
        <v>#DIV/0!</v>
      </c>
      <c r="Y31" s="270"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 E31)/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E31)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31" s="240" t="e">
        <f>IF(Y31&lt;ESCALAS!$C$5, "A", IF(Y31&lt;ESCALAS!$C$6,"B", IF(Y31&lt;ESCALAS!$C$7, "C", IF(Y31&lt;ESCALAS!$C$8, "D", IF(Y31&gt;ESCALAS!$C$8, "E", "")))))</f>
        <v>#DIV/0!</v>
      </c>
      <c r="AA31" s="270" t="e">
        <f>((241751 +  ('Envoltória e Pré-req dos Amb'!E35 + E31)*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 E31)/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31" s="239" t="e">
        <f>IF(AA31&lt;ESCALAS!$C$25, "A", IF(AA31&lt;ESCALAS!$C$26,"B", IF(AA31&lt;ESCALAS!$C$27, "C", IF(AA31&lt;ESCALAS!$C$28, "D", IF(AA31&gt;ESCALAS!$C$28, "E", "")))))</f>
        <v>#DIV/0!</v>
      </c>
      <c r="AC31" s="270" t="e">
        <f>((241751 +  ('Envoltória e Pré-req dos Amb'!E35 - E31)*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 E31)/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31" s="271" t="e">
        <f>IF(AC31&lt;ESCALAS!$C$25, "A", IF(AC31&lt;ESCALAS!$C$26,"B", IF(AC31&lt;ESCALAS!$C$27, "C", IF(AC31&lt;ESCALAS!$C$28, "D", IF(AC31&gt;ESCALAS!$C$28, "E", "")))))</f>
        <v>#DIV/0!</v>
      </c>
      <c r="AE31"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 E31)/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 E31)*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31" s="238" t="e">
        <f>IF(AE31&lt;ESCALAS!$D$5, "A", IF(AE31&lt;ESCALAS!$D$6,"B", IF(AE31&lt;ESCALAS!$D$7, "C", IF(AE31&lt;ESCALAS!$D$8, "D", IF(AE31&gt;ESCALAS!$D$8, "E", "")))))</f>
        <v>#DIV/0!</v>
      </c>
      <c r="AG31" s="270"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 E31)/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 E31)*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31" s="240" t="e">
        <f>IF(AG31&lt;ESCALAS!$D$5, "A", IF(AG31&lt;ESCALAS!$D$6,"B", IF(AG31&lt;ESCALAS!$D$7, "C", IF(AG31&lt;ESCALAS!$D$8, "D", IF(AG31&gt;ESCALAS!$D$8, "E", "")))))</f>
        <v>#DIV/0!</v>
      </c>
      <c r="AI31"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E31)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 E31)/ 'Envoltória e Pré-req dos Amb'!E12 * -15281.19376)/1000</f>
        <v>#DIV/0!</v>
      </c>
      <c r="AJ31" s="239" t="e">
        <f>IF(AI31&lt;ESCALAS!$D$25, "A", IF(AI31&lt;ESCALAS!$D$26,"B", IF(AI31&lt;ESCALAS!$D$27, "C", IF(AI31&lt;ESCALAS!$D$28, "D", IF(AI31&gt;ESCALAS!$D$28, "E", "")))))</f>
        <v>#DIV/0!</v>
      </c>
      <c r="AK31" s="270"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E31)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 E31)/ 'Envoltória e Pré-req dos Amb'!E12 * -15281.19376)/1000</f>
        <v>#DIV/0!</v>
      </c>
      <c r="AL31" s="271" t="e">
        <f>IF(AK31&lt;ESCALAS!$D$25, "A", IF(AK31&lt;ESCALAS!$D$26,"B", IF(AK31&lt;ESCALAS!$D$27, "C", IF(AK31&lt;ESCALAS!$D$28, "D", IF(AK31&gt;ESCALAS!$D$28, "E", "")))))</f>
        <v>#DIV/0!</v>
      </c>
      <c r="AM31"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 E31)/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 E31)*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31" s="238" t="e">
        <f>IF(AM31&lt;ESCALAS!$E$5, "A", IF(AM31&lt;ESCALAS!$E$6,"B", IF(AM31&lt;ESCALAS!$E$7, "C", IF(AM31&lt;ESCALAS!$E$8, "D", IF(AM31&gt;ESCALAS!$E$8, "E", "")))))</f>
        <v>#DIV/0!</v>
      </c>
      <c r="AO31" s="270"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 E31)/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 E31)*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31" s="240" t="e">
        <f>IF(AO31&lt;ESCALAS!$E$5, "A", IF(AO31&lt;ESCALAS!$E$6,"B", IF(AO31&lt;ESCALAS!$E$7, "C", IF(AO31&lt;ESCALAS!$E$8, "D", IF(AO31&gt;ESCALAS!$E$8, "E", "")))))</f>
        <v>#DIV/0!</v>
      </c>
      <c r="AQ31"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E31) * 1636.10823 + 'Envoltória e Pré-req dos Amb'!E25* 'Envoltória e Pré-req dos Amb'!E19* 'Envoltória e Pré-req dos Amb'!E21 * -29.78486643 + ('Envoltória e Pré-req dos Amb'!E35 + E31)* 'Envoltória e Pré-req dos Amb'!E12 * -104.071993)/1000</f>
        <v>-5.6949886399999969E-2</v>
      </c>
      <c r="AR31" s="239" t="str">
        <f>IF(AQ31&lt;ESCALAS!$E$25, "A", IF(AQ31&lt;ESCALAS!$E$26,"B", IF(AQ31&lt;ESCALAS!$E$27, "C", IF(AQ31&lt;ESCALAS!$E$28, "D", IF(AQ31&gt;ESCALAS!$E$28, "E", "")))))</f>
        <v>A</v>
      </c>
      <c r="AS31" s="270">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E31) * 1636.10823 + 'Envoltória e Pré-req dos Amb'!E25* 'Envoltória e Pré-req dos Amb'!E19* 'Envoltória e Pré-req dos Amb'!E21 * -29.78486643 + ('Envoltória e Pré-req dos Amb'!E35 - E31)* 'Envoltória e Pré-req dos Amb'!E12 * -104.071993)/1000</f>
        <v>-0.71139317840000005</v>
      </c>
      <c r="AT31" s="271" t="str">
        <f>IF(AS31&lt;ESCALAS!$E$25, "A", IF(AS31&lt;ESCALAS!$E$26,"B", IF(AS31&lt;ESCALAS!$E$27, "C", IF(AS31&lt;ESCALAS!$E$28, "D", IF(AS31&gt;ESCALAS!$E$28, "E", "")))))</f>
        <v>A</v>
      </c>
      <c r="AU31"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 E31)/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 E31)*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31" s="238" t="e">
        <f>IF(AU31&lt;ESCALAS!$H$5, "A", IF(AU31&lt;ESCALAS!$H$6,"B", IF(AU31&lt;ESCALAS!$H$7, "C", IF(AU31&lt;ESCALAS!$H$8, "D", IF(AU31&gt;ESCALAS!$H$8, "E", "")))))</f>
        <v>#DIV/0!</v>
      </c>
      <c r="AW31" s="270"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 E31)/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 E31)*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31" s="240" t="e">
        <f>IF(AW31&lt;ESCALAS!$H$5, "A", IF(AW31&lt;ESCALAS!$H$6,"B", IF(AW31&lt;ESCALAS!$H$7, "C", IF(AW31&lt;ESCALAS!$H$8, "D", IF(AW31&gt;ESCALAS!$H$8, "E", "")))))</f>
        <v>#DIV/0!</v>
      </c>
      <c r="AY31"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 E31)/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 E31)*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E31)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31" s="238" t="e">
        <f>IF(AY31&lt;ESCALAS!$F$5, "A", IF(AY31&lt;ESCALAS!$F$6,"B", IF(AY31&lt;ESCALAS!$F$7, "C", IF(AY31&lt;ESCALAS!$F$8, "D", IF(AY31&gt;ESCALAS!$F$8, "E", "")))))</f>
        <v>#DIV/0!</v>
      </c>
      <c r="BA31" s="270"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 E31)/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 E31)*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E31)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31" s="240" t="e">
        <f>IF(BA31&lt;ESCALAS!$F$5, "A", IF(BA31&lt;ESCALAS!$F$6,"B", IF(BA31&lt;ESCALAS!$F$7, "C", IF(BA31&lt;ESCALAS!$F$8, "D", IF(BA31&gt;ESCALAS!$F$8, "E", "")))))</f>
        <v>#DIV/0!</v>
      </c>
      <c r="BC31"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 E31)/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E31)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31" s="238" t="e">
        <f>IF(BC31&lt;ESCALAS!$G$5, "A", IF(BC31&lt;ESCALAS!$G$6,"B", IF(BC31&lt;ESCALAS!$G$7, "C", IF(BC31&lt;ESCALAS!$G$8, "D", IF(BC31&gt;ESCALAS!$G$8, "E", "")))))</f>
        <v>#DIV/0!</v>
      </c>
      <c r="BE31" s="270"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 E31)/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E31)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31" s="240" t="e">
        <f>IF(BE31&lt;ESCALAS!$G$5, "A", IF(BE31&lt;ESCALAS!$G$6,"B", IF(BE31&lt;ESCALAS!$G$7, "C", IF(BE31&lt;ESCALAS!$G$8, "D", IF(BE31&gt;ESCALAS!$G$8, "E", "")))))</f>
        <v>#DIV/0!</v>
      </c>
    </row>
    <row r="32" spans="2:58" ht="27" customHeight="1" thickBot="1" x14ac:dyDescent="0.25">
      <c r="B32" s="86" t="s">
        <v>55</v>
      </c>
      <c r="C32" s="199" t="s">
        <v>50</v>
      </c>
      <c r="D32" s="216">
        <v>0.5</v>
      </c>
      <c r="E32" s="282">
        <v>0.5</v>
      </c>
      <c r="F32" s="298" t="e">
        <f>IF('Envoltória e Pré-req dos Amb'!$E$10="ZB1",O32,IF('Envoltória e Pré-req dos Amb'!$E$10="ZB2",W32,IF('Envoltória e Pré-req dos Amb'!$E$10="ZB3",AE32,IF('Envoltória e Pré-req dos Amb'!$E$10="ZB4",AM32,IF('Envoltória e Pré-req dos Amb'!$E$10="ZB5",AU32,IF('Envoltória e Pré-req dos Amb'!$E$10="ZB6",AY32,IF('Envoltória e Pré-req dos Amb'!$E$10="ZB7",BC32,IF('Envoltória e Pré-req dos Amb'!$E$10="ZB8",AU32,"Escolha uma ZB"))))))))</f>
        <v>#DIV/0!</v>
      </c>
      <c r="G32" s="263" t="e">
        <f>IF('Envoltória e Pré-req dos Amb'!$E$10="ZB1",P32,IF('Envoltória e Pré-req dos Amb'!$E$10="ZB2",X32,IF('Envoltória e Pré-req dos Amb'!$E$10="ZB3",AF32,IF('Envoltória e Pré-req dos Amb'!$E$10="ZB4",AN32,IF('Envoltória e Pré-req dos Amb'!$E$10="ZB5",AV32,IF('Envoltória e Pré-req dos Amb'!$E$10="ZB6",AZ32,IF('Envoltória e Pré-req dos Amb'!$E$10="ZB7",BD32,IF('Envoltória e Pré-req dos Amb'!$E$10="ZB8",AV32,"Escolha uma ZB"))))))))</f>
        <v>#DIV/0!</v>
      </c>
      <c r="H32" s="304" t="e">
        <f>IF('Envoltória e Pré-req dos Amb'!$E$10="ZB1",Q32,IF('Envoltória e Pré-req dos Amb'!$E$10="ZB2",Y32,IF('Envoltória e Pré-req dos Amb'!$E$10="ZB3",AG32,IF('Envoltória e Pré-req dos Amb'!$E$10="ZB4",AO32,IF('Envoltória e Pré-req dos Amb'!$E$10="ZB5",AW32,IF('Envoltória e Pré-req dos Amb'!$E$10="ZB6",BA32,IF('Envoltória e Pré-req dos Amb'!$E$10="ZB7",BE32,IF('Envoltória e Pré-req dos Amb'!$E$10="ZB8",AW32,"Escolha uma ZB"))))))))</f>
        <v>#DIV/0!</v>
      </c>
      <c r="I32" s="226" t="e">
        <f>IF('Envoltória e Pré-req dos Amb'!$E$10="ZB1",R32,IF('Envoltória e Pré-req dos Amb'!$E$10="ZB2",Z32,IF('Envoltória e Pré-req dos Amb'!$E$10="ZB3",AH32,IF('Envoltória e Pré-req dos Amb'!$E$10="ZB4",AP32,IF('Envoltória e Pré-req dos Amb'!$E$10="ZB5",AX32,IF('Envoltória e Pré-req dos Amb'!$E$10="ZB6",BB32,IF('Envoltória e Pré-req dos Amb'!$E$10="ZB7",BF32,IF('Envoltória e Pré-req dos Amb'!$E$10="ZB8",AX32,"Escolha uma ZB"))))))))</f>
        <v>#DIV/0!</v>
      </c>
      <c r="J32" s="306" t="e">
        <f>IF('Envoltória e Pré-req dos Amb'!$E$10="ZB1",S32,IF('Envoltória e Pré-req dos Amb'!$E$10="ZB2",AA32,IF('Envoltória e Pré-req dos Amb'!$E$10="ZB3",AI32,IF('Envoltória e Pré-req dos Amb'!$E$10="ZB4",AQ32,IF('Envoltória e Pré-req dos Amb'!$E$10="ZB5",0,IF('Envoltória e Pré-req dos Amb'!$E$10="ZB6",0,IF('Envoltória e Pré-req dos Amb'!$E$10="ZB7",0,IF('Envoltória e Pré-req dos Amb'!$E$10="ZB8",0,"Escolha uma ZB"))))))))</f>
        <v>#DIV/0!</v>
      </c>
      <c r="K32" s="263" t="e">
        <f>IF('Envoltória e Pré-req dos Amb'!$E$10="ZB1",T32,IF('Envoltória e Pré-req dos Amb'!$E$10="ZB2",AB32,IF('Envoltória e Pré-req dos Amb'!$E$10="ZB3",AJ32,IF('Envoltória e Pré-req dos Amb'!$E$10="ZB4",AR32,IF('Envoltória e Pré-req dos Amb'!$E$10="ZB5","Não se aplica",IF('Envoltória e Pré-req dos Amb'!$E$10="ZB6","Não se aplica",IF('Envoltória e Pré-req dos Amb'!$E$10="ZB7","Não se aplica",IF('Envoltória e Pré-req dos Amb'!$E$10="ZB8","Não se aplica","Escolha uma ZB"))))))))</f>
        <v>#DIV/0!</v>
      </c>
      <c r="L32" s="310" t="e">
        <f>IF('Envoltória e Pré-req dos Amb'!$E$10="ZB1",U32,IF('Envoltória e Pré-req dos Amb'!$E$10="ZB2",AC32,IF('Envoltória e Pré-req dos Amb'!$E$10="ZB3",AK32,IF('Envoltória e Pré-req dos Amb'!$E$10="ZB4",AS32,IF('Envoltória e Pré-req dos Amb'!$E$10="ZB5",0,IF('Envoltória e Pré-req dos Amb'!$E$10="ZB6",0,IF('Envoltória e Pré-req dos Amb'!$E$10="ZB7",0,IF('Envoltória e Pré-req dos Amb'!$E$10="ZB8",0,"Escolha uma ZB"))))))))</f>
        <v>#DIV/0!</v>
      </c>
      <c r="M32" s="256" t="e">
        <f>IF('Envoltória e Pré-req dos Amb'!$E$10="ZB1",V32,IF('Envoltória e Pré-req dos Amb'!$E$10="ZB2",AD32,IF('Envoltória e Pré-req dos Amb'!$E$10="ZB3",AL32,IF('Envoltória e Pré-req dos Amb'!$E$10="ZB4",AT32,IF('Envoltória e Pré-req dos Amb'!$E$10="ZB5","Não se aplica",IF('Envoltória e Pré-req dos Amb'!$E$10="ZB6","Não se aplica",IF('Envoltória e Pré-req dos Amb'!$E$10="ZB7","Não se aplica",IF('Envoltória e Pré-req dos Amb'!$E$10="ZB8","Não se aplica","Escolha uma ZB"))))))))</f>
        <v>#DIV/0!</v>
      </c>
      <c r="N32" s="230"/>
      <c r="O32" s="281"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32" s="254" t="e">
        <f>IF(O32&lt;ESCALAS!$B$5, "A", IF(O32&lt;ESCALAS!$B$6,"B", IF(O32&lt;ESCALAS!$B$7, "C", IF(O32&lt;ESCALAS!$B$8, "D", IF(O32&gt;ESCALAS!$B$8, "E", "")))))</f>
        <v>#DIV/0!</v>
      </c>
      <c r="Q32" s="279"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R32" s="255" t="e">
        <f>IF(Q32&lt;ESCALAS!$B$5, "A", IF(Q32&lt;ESCALAS!$B$6,"B", IF(Q32&lt;ESCALAS!$B$7, "C", IF(Q32&lt;ESCALAS!$B$8, "D", IF(Q32&gt;ESCALAS!$B$8, "E", "")))))</f>
        <v>#DIV/0!</v>
      </c>
      <c r="S32" s="244"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E32) * 4326 + 'Envoltória e Pré-req dos Amb'!E16*'Envoltória e Pré-req dos Amb'!E18*'Envoltória e Pré-req dos Amb'!E13*'Envoltória e Pré-req dos Amb'!E12 * -2 + 'Envoltória e Pré-req dos Amb'!E21 * -86128 + 'Envoltória e Pré-req dos Amb'!E30*('Envoltória e Pré-req dos Amb'!E39 + E32)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E32) * 3542 + 'Envoltória e Pré-req dos Amb'!E28*('Envoltória e Pré-req dos Amb'!E39 + E32)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32" s="245" t="e">
        <f>IF(S32&lt;ESCALAS!$B$25, "A", IF(S32&lt;ESCALAS!$B$26,"B", IF(S32&lt;ESCALAS!$B$27, "C", IF(S32&lt;ESCALAS!$B$28, "D", IF(S32&gt;ESCALAS!$B$28, "E", "")))))</f>
        <v>#DIV/0!</v>
      </c>
      <c r="U32" s="245"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E32) * 4326 + 'Envoltória e Pré-req dos Amb'!E16*'Envoltória e Pré-req dos Amb'!E18*'Envoltória e Pré-req dos Amb'!E13*'Envoltória e Pré-req dos Amb'!E12 * -2 + 'Envoltória e Pré-req dos Amb'!E21 * -86128 + 'Envoltória e Pré-req dos Amb'!E30*('Envoltória e Pré-req dos Amb'!E39 - E32)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E32) * 3542 + 'Envoltória e Pré-req dos Amb'!E28*('Envoltória e Pré-req dos Amb'!E39 - E32)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V32" s="278" t="e">
        <f>IF(U32&lt;ESCALAS!$B$25, "A", IF(U32&lt;ESCALAS!$B$26,"B", IF(U32&lt;ESCALAS!$B$27, "C", IF(U32&lt;ESCALAS!$B$28, "D", IF(U32&gt;ESCALAS!$B$28, "E", "")))))</f>
        <v>#DIV/0!</v>
      </c>
      <c r="W32" s="279"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32" s="254" t="e">
        <f>IF(W32&lt;ESCALAS!$C$5, "A", IF(W32&lt;ESCALAS!$C$6,"B", IF(W32&lt;ESCALAS!$C$7, "C", IF(W32&lt;ESCALAS!$C$8, "D", IF(W32&gt;ESCALAS!$C$8, "E", "")))))</f>
        <v>#DIV/0!</v>
      </c>
      <c r="Y32" s="279"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Z32" s="255" t="e">
        <f>IF(Y32&lt;ESCALAS!$C$5, "A", IF(Y32&lt;ESCALAS!$C$6,"B", IF(Y32&lt;ESCALAS!$C$7, "C", IF(Y32&lt;ESCALAS!$C$8, "D", IF(Y32&gt;ESCALAS!$C$8, "E", "")))))</f>
        <v>#DIV/0!</v>
      </c>
      <c r="AA32" s="279"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E32) * 2298 +  'Envoltória e Pré-req dos Amb'!E19 * -30992 +  'Envoltória e Pré-req dos Amb'!E30* ('Envoltória e Pré-req dos Amb'!E39 + E32)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E32)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E32)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32" s="245" t="e">
        <f>IF(AA32&lt;ESCALAS!$C$25, "A", IF(AA32&lt;ESCALAS!$C$26,"B", IF(AA32&lt;ESCALAS!$C$27, "C", IF(AA32&lt;ESCALAS!$C$28, "D", IF(AA32&gt;ESCALAS!$C$28, "E", "")))))</f>
        <v>#DIV/0!</v>
      </c>
      <c r="AC32" s="279"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E32) * 2298 +  'Envoltória e Pré-req dos Amb'!E19 * -30992 +  'Envoltória e Pré-req dos Amb'!E30* ('Envoltória e Pré-req dos Amb'!E39 - E32)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E32)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E32)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D32" s="278" t="e">
        <f>IF(AC32&lt;ESCALAS!$C$25, "A", IF(AC32&lt;ESCALAS!$C$26,"B", IF(AC32&lt;ESCALAS!$C$27, "C", IF(AC32&lt;ESCALAS!$C$28, "D", IF(AC32&gt;ESCALAS!$C$28, "E", "")))))</f>
        <v>#DIV/0!</v>
      </c>
      <c r="AE32" s="279"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32" s="254" t="e">
        <f>IF(AE32&lt;ESCALAS!$D$5, "A", IF(AE32&lt;ESCALAS!$D$6,"B", IF(AE32&lt;ESCALAS!$D$7, "C", IF(AE32&lt;ESCALAS!$D$8, "D", IF(AE32&gt;ESCALAS!$D$8, "E", "")))))</f>
        <v>#DIV/0!</v>
      </c>
      <c r="AG32" s="279"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H32" s="255" t="e">
        <f>IF(AG32&lt;ESCALAS!$D$5, "A", IF(AG32&lt;ESCALAS!$D$6,"B", IF(AG32&lt;ESCALAS!$D$7, "C", IF(AG32&lt;ESCALAS!$D$8, "D", IF(AG32&gt;ESCALAS!$D$8, "E", "")))))</f>
        <v>#DIV/0!</v>
      </c>
      <c r="AI32" s="279"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32" s="245" t="e">
        <f>IF(AI32&lt;ESCALAS!$D$25, "A", IF(AI32&lt;ESCALAS!$D$26,"B", IF(AI32&lt;ESCALAS!$D$27, "C", IF(AI32&lt;ESCALAS!$D$28, "D", IF(AI32&gt;ESCALAS!$D$28, "E", "")))))</f>
        <v>#DIV/0!</v>
      </c>
      <c r="AK32" s="279"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L32" s="278" t="e">
        <f>IF(AK32&lt;ESCALAS!$D$25, "A", IF(AK32&lt;ESCALAS!$D$26,"B", IF(AK32&lt;ESCALAS!$D$27, "C", IF(AK32&lt;ESCALAS!$D$28, "D", IF(AK32&gt;ESCALAS!$D$28, "E", "")))))</f>
        <v>#DIV/0!</v>
      </c>
      <c r="AM32" s="279"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32" s="254" t="e">
        <f>IF(AM32&lt;ESCALAS!$E$5, "A", IF(AM32&lt;ESCALAS!$E$6,"B", IF(AM32&lt;ESCALAS!$E$7, "C", IF(AM32&lt;ESCALAS!$E$8, "D", IF(AM32&gt;ESCALAS!$E$8, "E", "")))))</f>
        <v>#DIV/0!</v>
      </c>
      <c r="AO32" s="279"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P32" s="255" t="e">
        <f>IF(AO32&lt;ESCALAS!$E$5, "A", IF(AO32&lt;ESCALAS!$E$6,"B", IF(AO32&lt;ESCALAS!$E$7, "C", IF(AO32&lt;ESCALAS!$E$8, "D", IF(AO32&gt;ESCALAS!$E$8, "E", "")))))</f>
        <v>#DIV/0!</v>
      </c>
      <c r="AQ32" s="279">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R32" s="245" t="str">
        <f>IF(AQ32&lt;ESCALAS!$E$25, "A", IF(AQ32&lt;ESCALAS!$E$26,"B", IF(AQ32&lt;ESCALAS!$E$27, "C", IF(AQ32&lt;ESCALAS!$E$28, "D", IF(AQ32&gt;ESCALAS!$E$28, "E", "")))))</f>
        <v>A</v>
      </c>
      <c r="AS32" s="279">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T32" s="278" t="str">
        <f>IF(AS32&lt;ESCALAS!$E$25, "A", IF(AS32&lt;ESCALAS!$E$26,"B", IF(AS32&lt;ESCALAS!$E$27, "C", IF(AS32&lt;ESCALAS!$E$28, "D", IF(AS32&gt;ESCALAS!$E$28, "E", "")))))</f>
        <v>A</v>
      </c>
      <c r="AU32" s="279"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32" s="254" t="e">
        <f>IF(AU32&lt;ESCALAS!$H$5, "A", IF(AU32&lt;ESCALAS!$H$6,"B", IF(AU32&lt;ESCALAS!$H$7, "C", IF(AU32&lt;ESCALAS!$H$8, "D", IF(AU32&gt;ESCALAS!$H$8, "E", "")))))</f>
        <v>#DIV/0!</v>
      </c>
      <c r="AW32" s="279"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X32" s="255" t="e">
        <f>IF(AW32&lt;ESCALAS!$H$5, "A", IF(AW32&lt;ESCALAS!$H$6,"B", IF(AW32&lt;ESCALAS!$H$7, "C", IF(AW32&lt;ESCALAS!$H$8, "D", IF(AW32&gt;ESCALAS!$H$8, "E", "")))))</f>
        <v>#DIV/0!</v>
      </c>
      <c r="AY32" s="279"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32" s="254" t="e">
        <f>IF(AY32&lt;ESCALAS!$F$5, "A", IF(AY32&lt;ESCALAS!$F$6,"B", IF(AY32&lt;ESCALAS!$F$7, "C", IF(AY32&lt;ESCALAS!$F$8, "D", IF(AY32&gt;ESCALAS!$F$8, "E", "")))))</f>
        <v>#DIV/0!</v>
      </c>
      <c r="BA32" s="279"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BB32" s="255" t="e">
        <f>IF(BA32&lt;ESCALAS!$F$5, "A", IF(BA32&lt;ESCALAS!$F$6,"B", IF(BA32&lt;ESCALAS!$F$7, "C", IF(BA32&lt;ESCALAS!$F$8, "D", IF(BA32&gt;ESCALAS!$F$8, "E", "")))))</f>
        <v>#DIV/0!</v>
      </c>
      <c r="BC32" s="279"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32" s="254" t="e">
        <f>IF(BC32&lt;ESCALAS!$G$5, "A", IF(BC32&lt;ESCALAS!$G$6,"B", IF(BC32&lt;ESCALAS!$G$7, "C", IF(BC32&lt;ESCALAS!$G$8, "D", IF(BC32&gt;ESCALAS!$G$8, "E", "")))))</f>
        <v>#DIV/0!</v>
      </c>
      <c r="BE32" s="279"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F32" s="255" t="e">
        <f>IF(BE32&lt;ESCALAS!$G$5, "A", IF(BE32&lt;ESCALAS!$G$6,"B", IF(BE32&lt;ESCALAS!$G$7, "C", IF(BE32&lt;ESCALAS!$G$8, "D", IF(BE32&gt;ESCALAS!$G$8, "E", "")))))</f>
        <v>#DIV/0!</v>
      </c>
    </row>
    <row r="33" spans="2:58" ht="37.5" customHeight="1" thickBot="1" x14ac:dyDescent="0.25">
      <c r="B33" s="227" t="s">
        <v>252</v>
      </c>
      <c r="C33" s="228" t="s">
        <v>253</v>
      </c>
      <c r="D33" s="228" t="s">
        <v>253</v>
      </c>
      <c r="E33" s="229" t="s">
        <v>253</v>
      </c>
      <c r="F33" s="252"/>
      <c r="G33" s="305" t="e">
        <f>IF('Envoltória e Pré-req dos Amb'!$E$10="ZB1",O35,IF('Envoltória e Pré-req dos Amb'!$E$10="ZB2",W35,IF('Envoltória e Pré-req dos Amb'!$E$10="ZB3",AE35,IF('Envoltória e Pré-req dos Amb'!$E$10="ZB4",AM35,IF('Envoltória e Pré-req dos Amb'!$E$10="ZB5",AU35,IF('Envoltória e Pré-req dos Amb'!$E$10="ZB6",AY35,IF('Envoltória e Pré-req dos Amb'!$E$10="ZB7",BC35,IF('Envoltória e Pré-req dos Amb'!$E$10="ZB8",AU35,"Escolha uma ZB"))))))))</f>
        <v>#DIV/0!</v>
      </c>
      <c r="H33" s="267" t="e">
        <f>IF('Envoltória e Pré-req dos Amb'!$E$10="ZB1",P35,IF('Envoltória e Pré-req dos Amb'!$E$10="ZB2",X35,IF('Envoltória e Pré-req dos Amb'!$E$10="ZB3",AF35,IF('Envoltória e Pré-req dos Amb'!$E$10="ZB4",AN35,IF('Envoltória e Pré-req dos Amb'!$E$10="ZB5",AV35,IF('Envoltória e Pré-req dos Amb'!$E$10="ZB6",AZ35,IF('Envoltória e Pré-req dos Amb'!$E$10="ZB7",BD35,IF('Envoltória e Pré-req dos Amb'!$E$10="ZB8",AV35,"Escolha uma ZB"))))))))</f>
        <v>#DIV/0!</v>
      </c>
      <c r="I33" s="250"/>
      <c r="J33" s="252"/>
      <c r="K33" s="314" t="e">
        <f>'Envoltória e Pré-req dos Amb'!E43</f>
        <v>#DIV/0!</v>
      </c>
      <c r="L33" s="267" t="e">
        <f>'Envoltória e Pré-req dos Amb'!E42</f>
        <v>#DIV/0!</v>
      </c>
      <c r="M33" s="251"/>
      <c r="N33" s="231"/>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195"/>
      <c r="AS33" s="195"/>
      <c r="AT33" s="195"/>
      <c r="AU33" s="195"/>
      <c r="AV33" s="195"/>
      <c r="AW33" s="195"/>
      <c r="AX33" s="195"/>
      <c r="AY33" s="195"/>
      <c r="AZ33" s="195"/>
      <c r="BA33" s="195"/>
      <c r="BB33" s="195"/>
      <c r="BC33" s="195"/>
      <c r="BD33" s="195"/>
      <c r="BE33" s="195"/>
      <c r="BF33" s="195"/>
    </row>
    <row r="34" spans="2:58" x14ac:dyDescent="0.2">
      <c r="F34" s="195"/>
      <c r="G34" s="195"/>
      <c r="H34" s="195"/>
      <c r="I34" s="195"/>
      <c r="J34" s="195"/>
      <c r="K34" s="195"/>
      <c r="L34" s="195"/>
      <c r="M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5"/>
      <c r="AL34" s="195"/>
      <c r="AM34" s="195"/>
      <c r="AN34" s="195"/>
      <c r="AO34" s="195"/>
      <c r="AP34" s="195"/>
      <c r="AQ34" s="195"/>
      <c r="AR34" s="195"/>
      <c r="AS34" s="195"/>
      <c r="AT34" s="195"/>
      <c r="AU34" s="195"/>
      <c r="AV34" s="195"/>
      <c r="AW34" s="195"/>
      <c r="AX34" s="195"/>
      <c r="AY34" s="195"/>
      <c r="AZ34" s="195"/>
      <c r="BA34" s="195"/>
      <c r="BB34" s="195"/>
      <c r="BC34" s="195"/>
      <c r="BD34" s="195"/>
      <c r="BE34" s="195"/>
      <c r="BF34" s="195"/>
    </row>
    <row r="35" spans="2:58" hidden="1" x14ac:dyDescent="0.2">
      <c r="B35" s="213" t="s">
        <v>254</v>
      </c>
      <c r="C35" s="213"/>
      <c r="D35" s="213"/>
      <c r="E35" s="213"/>
      <c r="F35" s="213"/>
      <c r="G35" s="213"/>
      <c r="H35" s="213"/>
      <c r="I35" s="213"/>
      <c r="J35" s="213"/>
      <c r="K35" s="213"/>
      <c r="L35" s="213"/>
      <c r="M35" s="213"/>
      <c r="N35" s="235"/>
      <c r="O35" s="214" t="e">
        <f xml:space="preserve"> 94.05223724 + 'Envoltória e Pré-req dos Amb'!E22 * 123.0187663 + 'Envoltória e Pré-req dos Amb'!E35/'Envoltória e Pré-req dos Amb'!E12 * 164.3781445 + ('Envoltória e Pré-req dos Amb'!E16*(IF('Envoltória e Pré-req dos Amb'!E13=0,0,1)))*('Envoltória e Pré-req dos Amb'!E18*(IF('Envoltória e Pré-req dos Amb'!E13=0,0,1)))*'Envoltória e Pré-req dos Amb'!E13*'Envoltória e Pré-req dos Amb'!E12 * 2.635266317 + (('Envoltória e Pré-req dos Amb'!E16* (IF('Envoltória e Pré-req dos Amb'!E13=0,0,1)))* ('Envoltória e Pré-req dos Amb'!E18* (IF('Envoltória e Pré-req dos Amb'!E13=0,0,1)))/ (IF(('Envoltória e Pré-req dos Amb'!E17*(IF('Envoltória e Pré-req dos Amb'!E13=0,0,1)))=0,1,('Envoltória e Pré-req dos Amb'!E17*(IF('Envoltória e Pré-req dos Amb'!E13=0,0,1))))))*'Envoltória e Pré-req dos Amb'!E12 * 3.056389353 + 'Envoltória e Pré-req dos Amb'!E33 * -66.67213625 + ('Envoltória e Pré-req dos Amb'!E17*(IF('Envoltória e Pré-req dos Amb'!E13=0,0,1))) * -0.060740971 + ('Envoltória e Pré-req dos Amb'!E18*(IF('Envoltória e Pré-req dos Amb'!E13=0,0,1))) * 56.9220963 + 'Envoltória e Pré-req dos Amb'!E31* IMABS('Envoltória e Pré-req dos Amb'!E33-1) * 9.135753077 + 'Envoltória e Pré-req dos Amb'!E37 * -32.84134171 + 'Envoltória e Pré-req dos Amb'!E14 * -54.37823982 + IF('Envoltória e Pré-req dos Amb'!E29=0,0,1) * -13.78243857 + ('Envoltória e Pré-req dos Amb'!E19* 'Envoltória e Pré-req dos Amb'!E21/'Envoltória e Pré-req dos Amb'!E20)* ('Envoltória e Pré-req dos Amb'!E24+'Envoltória e Pré-req dos Amb'!E25+'Envoltória e Pré-req dos Amb'!E26+'Envoltória e Pré-req dos Amb'!E27) * 0.263659347 + 'Envoltória e Pré-req dos Amb'!E32 * -35.93802025 + 'Envoltória e Pré-req dos Amb'!E20 * -0.044089441 + 'Envoltória e Pré-req dos Amb'!E15 * -19.29710902 + 'Envoltória e Pré-req dos Amb'!E13*'Envoltória e Pré-req dos Amb'!E12 * -0.907468594 + 'Envoltória e Pré-req dos Amb'!E38 * -16.16231635 + 'Envoltória e Pré-req dos Amb'!E13 * 50.83872757 + IF('Envoltória e Pré-req dos Amb'!E31=0,0,1) * 21.84793421 + 'Envoltória e Pré-req dos Amb'!E28*'Envoltória e Pré-req dos Amb'!E33 * 5.419685448 + 'Envoltória e Pré-req dos Amb'!E12 * -0.824068299 + 'Envoltória e Pré-req dos Amb'!E35 * 6.99512043 + 'Envoltória e Pré-req dos Amb'!E14*'Envoltória e Pré-req dos Amb'!E12 * 0.414118291 + 'Envoltória e Pré-req dos Amb'!E30*'Envoltória e Pré-req dos Amb'!E32 * 5.448734071 + 'Envoltória e Pré-req dos Amb'!E24*'Envoltória e Pré-req dos Amb'!E21 * -0.156864029 + 'Envoltória e Pré-req dos Amb'!E26*'Envoltória e Pré-req dos Amb'!E19*'Envoltória e Pré-req dos Amb'!E21 * 2.459633866 + 'Envoltória e Pré-req dos Amb'!E26*'Envoltória e Pré-req dos Amb'!E19 * -1.01866796 + 'Envoltória e Pré-req dos Amb'!E29*'Envoltória e Pré-req dos Amb'!E33 * 2.278496034 + 'Envoltória e Pré-req dos Amb'!E31*'Envoltória e Pré-req dos Amb'!E33 * 2.953739742 + 'Envoltória e Pré-req dos Amb'!E25*'Envoltória e Pré-req dos Amb'!E19*'Envoltória e Pré-req dos Amb'!E21 * 0.473241363 + 'Envoltória e Pré-req dos Amb'!E21 * 15.32555102 + 'Envoltória e Pré-req dos Amb'!E23 * 16.23447628 + 'Envoltória e Pré-req dos Amb'!E19 * -12.2883028 + 'Envoltória e Pré-req dos Amb'!E29*'Envoltória e Pré-req dos Amb'!E32 * 2.638956176 + 'Envoltória e Pré-req dos Amb'!E27*'Envoltória e Pré-req dos Amb'!E19*'Envoltória e Pré-req dos Amb'!E21 * 1.774450991 + 'Envoltória e Pré-req dos Amb'!E27*'Envoltória e Pré-req dos Amb'!E19 * -0.767798836 + IF('Envoltória e Pré-req dos Amb'!E24=0,0,1) * 22.10773117 + IF('Envoltória e Pré-req dos Amb'!E28=0,0,1) * -15.78410342</f>
        <v>#DIV/0!</v>
      </c>
      <c r="P35" s="224" t="e">
        <f>IF(O35&lt;ESCALAS!$B$5, "A", IF(O35&lt;ESCALAS!$B$6,"B", IF(O35&lt;ESCALAS!$B$7, "C", IF(O35&lt;ESCALAS!$B$8, "D", IF(O35&gt;ESCALAS!$B$8, "E", "")))))</f>
        <v>#DIV/0!</v>
      </c>
      <c r="Q35" s="213"/>
      <c r="R35" s="213"/>
      <c r="S35" s="214" t="e">
        <f>(( 298700 + 'Envoltória e Pré-req dos Amb'!E35*'Envoltória e Pré-req dos Amb'!E12 * 621 + 'Envoltória e Pré-req dos Amb'!E15*'Envoltória e Pré-req dos Amb'!E12 * 8314 + 'Envoltória e Pré-req dos Amb'!E37 * -198260 + 'Envoltória e Pré-req dos Amb'!E34*'Envoltória e Pré-req dos Amb'!E20 * -1 + 'Envoltória e Pré-req dos Amb'!E14*'Envoltória e Pré-req dos Amb'!E12 * 5882 + ('Envoltória e Pré-req dos Amb'!E19*'Envoltória e Pré-req dos Amb'!E21/'Envoltória e Pré-req dos Amb'!E20)* ('Envoltória e Pré-req dos Amb'!E24+'Envoltória e Pré-req dos Amb'!E25+'Envoltória e Pré-req dos Amb'!E26+'Envoltória e Pré-req dos Amb'!E27) * 924 + 'Envoltória e Pré-req dos Amb'!E13*'Envoltória e Pré-req dos Amb'!E12 * 3091 + 'Envoltória e Pré-req dos Amb'!E29*'Envoltória e Pré-req dos Amb'!E39 * 4326 + 'Envoltória e Pré-req dos Amb'!E16*'Envoltória e Pré-req dos Amb'!E18*'Envoltória e Pré-req dos Amb'!E13*'Envoltória e Pré-req dos Amb'!E12 * -2 + 'Envoltória e Pré-req dos Amb'!E21 * -86128 + 'Envoltória e Pré-req dos Amb'!E30*'Envoltória e Pré-req dos Amb'!E39 * 3777 + 'Envoltória e Pré-req dos Amb'!E19 * -57707 + 'Envoltória e Pré-req dos Amb'!E25 * -5503 + 'Envoltória e Pré-req dos Amb'!E32 * 79769 + 'Envoltória e Pré-req dos Amb'!E22 * 63011 + 'Envoltória e Pré-req dos Amb'!E34 * 6373 + ('Envoltória e Pré-req dos Amb'!E24+'Envoltória e Pré-req dos Amb'!E25+'Envoltória e Pré-req dos Amb'!E26+'Envoltória e Pré-req dos Amb'!E27)*'Envoltória e Pré-req dos Amb'!E20 * -4 + 'Envoltória e Pré-req dos Amb'!E38 * 3559 + ('Envoltória e Pré-req dos Amb'!E16*'Envoltória e Pré-req dos Amb'!E18/'Envoltória e Pré-req dos Amb'!E17)*'Envoltória e Pré-req dos Amb'!E12 * 987 + ('Envoltória e Pré-req dos Amb'!E24+'Envoltória e Pré-req dos Amb'!E25+'Envoltória e Pré-req dos Amb'!E26+'Envoltória e Pré-req dos Amb'!E27) * 17709 + 'Envoltória e Pré-req dos Amb'!E24*'Envoltória e Pré-req dos Amb'!E21 * -1890 + 'Envoltória e Pré-req dos Amb'!E35 * -75955 + 'Envoltória e Pré-req dos Amb'!E33 * 26363 + 'Envoltória e Pré-req dos Amb'!E25*'Envoltória e Pré-req dos Amb'!E21 * -1593 + 'Envoltória e Pré-req dos Amb'!E16 * 4001 + 'Envoltória e Pré-req dos Amb'!E17 * -45 + 'Envoltória e Pré-req dos Amb'!E20 * 71 + 'Envoltória e Pré-req dos Amb'!E29 * 20177 + 'Envoltória e Pré-req dos Amb'!E28*'Envoltória e Pré-req dos Amb'!E32 * -43565 + 'Envoltória e Pré-req dos Amb'!E24*'Envoltória e Pré-req dos Amb'!E19 * 3414 + 'Envoltória e Pré-req dos Amb'!E25*'Envoltória e Pré-req dos Amb'!E19 * 3099 + 'Envoltória e Pré-req dos Amb'!E31*'Envoltória e Pré-req dos Amb'!E32 * -48985 + 'Envoltória e Pré-req dos Amb'!E13 * 147203 + 'Envoltória e Pré-req dos Amb'!E18 * -136861 + 'Envoltória e Pré-req dos Amb'!E31*'Envoltória e Pré-req dos Amb'!E39 * 3542 + 'Envoltória e Pré-req dos Amb'!E28*'Envoltória e Pré-req dos Amb'!E39 * 3327 + 'Envoltória e Pré-req dos Amb'!E27*'Envoltória e Pré-req dos Amb'!E21 * -9947 + 'Envoltória e Pré-req dos Amb'!E26*'Envoltória e Pré-req dos Amb'!E21 * -9319 + 'Envoltória e Pré-req dos Amb'!E24 * -9419 + 'Envoltória e Pré-req dos Amb'!E30*'Envoltória e Pré-req dos Amb'!E32 * -53393 + 'Envoltória e Pré-req dos Amb'!E29*'Envoltória e Pré-req dos Amb'!E32 * -47868 + 'Envoltória e Pré-req dos Amb'!E14 * 30811 + 'Envoltória e Pré-req dos Amb'!E15 * 27239 + 'Envoltória e Pré-req dos Amb'!E30 * 16615 + 'Envoltória e Pré-req dos Amb'!E31*IMABS('Envoltória e Pré-req dos Amb'!E33-1) * -16143 + 'Envoltória e Pré-req dos Amb'!E24*'Envoltória e Pré-req dos Amb'!E19*'Envoltória e Pré-req dos Amb'!E21 * -3226 + 'Envoltória e Pré-req dos Amb'!E25*'Envoltória e Pré-req dos Amb'!E19*'Envoltória e Pré-req dos Amb'!E21 * -2821 + 'Envoltória e Pré-req dos Amb'!E31 * 17484 + 'Envoltória e Pré-req dos Amb'!E31*'Envoltória e Pré-req dos Amb'!E33 * -20537 + IF('Envoltória e Pré-req dos Amb'!E25=0,0,1) * -17090 + 'Envoltória e Pré-req dos Amb'!E28*IMABS('Envoltória e Pré-req dos Amb'!E33-1) * -14061 + 'Envoltória e Pré-req dos Amb'!E28*'Envoltória e Pré-req dos Amb'!E33 * -21052 + 'Envoltória e Pré-req dos Amb'!E28 * 11213)/1000) /'Envoltória e Pré-req dos Amb'!E12</f>
        <v>#DIV/0!</v>
      </c>
      <c r="T35" s="215" t="e">
        <f>IF(S35&lt;ESCALAS!$B$25, "A", IF(S35&lt;ESCALAS!$B$26,"B", IF(S35&lt;ESCALAS!$B$27, "C", IF(S35&lt;ESCALAS!$B$28, "D", IF(S35&gt;ESCALAS!$B$28, "E", "")))))</f>
        <v>#DIV/0!</v>
      </c>
      <c r="U35" s="213"/>
      <c r="V35" s="213"/>
      <c r="W35" s="214" t="e">
        <f xml:space="preserve"> 6000.849121 +  'Envoltória e Pré-req dos Amb'!E22 * 2386.299094 +  'Envoltória e Pré-req dos Amb'!E14* 'Envoltória e Pré-req dos Amb'!E12 * -14.38949644 +  'Envoltória e Pré-req dos Amb'!E33 * -2377.3152 + ( 'Envoltória e Pré-req dos Amb'!E16*(IF( 'Envoltória e Pré-req dos Amb'!E13=0,0,1))) * -134.9246764 +  'Envoltória e Pré-req dos Amb'!E21 * 1905.825983 +  'Envoltória e Pré-req dos Amb'!E19 * 374.3660091 +  'Envoltória e Pré-req dos Amb'!E35/ 'Envoltória e Pré-req dos Amb'!E12 * 5560.620256 +  'Envoltória e Pré-req dos Amb'!E23 * -934.7427493 + IF( 'Envoltória e Pré-req dos Amb'!E29=0,0,1) * -714.8607825 + ( 'Envoltória e Pré-req dos Amb'!E18*(IF( 'Envoltória e Pré-req dos Amb'!E13=0,0,1))) * 2112.574033 +  'Envoltória e Pré-req dos Amb'!E14 * -1614.97601 +  'Envoltória e Pré-req dos Amb'!E32 * -1460.781649 + ( 'Envoltória e Pré-req dos Amb'!E17*(IF( 'Envoltória e Pré-req dos Amb'!E13=0,0,1))) * -0.585244688 + ( 'Envoltória e Pré-req dos Amb'!E24+ 'Envoltória e Pré-req dos Amb'!E25+ 'Envoltória e Pré-req dos Amb'!E26+ 'Envoltória e Pré-req dos Amb'!E27) * 17.13986756 +  'Envoltória e Pré-req dos Amb'!E12 * -17.47874354 + ( 'Envoltória e Pré-req dos Amb'!E16*(IF( 'Envoltória e Pré-req dos Amb'!E13=0,0,1)))*( 'Envoltória e Pré-req dos Amb'!E18*(IF( 'Envoltória e Pré-req dos Amb'!E13=0,0,1)))* 'Envoltória e Pré-req dos Amb'!E13* 'Envoltória e Pré-req dos Amb'!E12 * 64.37135207 +  'Envoltória e Pré-req dos Amb'!E38 * -433.2761942 +  'Envoltória e Pré-req dos Amb'!E31*IMABS( 'Envoltória e Pré-req dos Amb'!E33-1) * 61.61693148 +  'Envoltória e Pré-req dos Amb'!E26* 'Envoltória e Pré-req dos Amb'!E19* 'Envoltória e Pré-req dos Amb'!E21 * 44.09628267 +  'Envoltória e Pré-req dos Amb'!E24* 'Envoltória e Pré-req dos Amb'!E19* 'Envoltória e Pré-req dos Amb'!E21 * 108.600273 +  'Envoltória e Pré-req dos Amb'!E15 * -314.5094487 +  'Envoltória e Pré-req dos Amb'!E30*IMABS( 'Envoltória e Pré-req dos Amb'!E33-1) * 84.73378113 +  'Envoltória e Pré-req dos Amb'!E27* 'Envoltória e Pré-req dos Amb'!E19* 'Envoltória e Pré-req dos Amb'!E21 * 36.28553911 + ( 'Envoltória e Pré-req dos Amb'!E19* 'Envoltória e Pré-req dos Amb'!E21/ 'Envoltória e Pré-req dos Amb'!E20)*( 'Envoltória e Pré-req dos Amb'!E24+ 'Envoltória e Pré-req dos Amb'!E25+ 'Envoltória e Pré-req dos Amb'!E26+ 'Envoltória e Pré-req dos Amb'!E27) * -4.07760881 +  'Envoltória e Pré-req dos Amb'!E25* 'Envoltória e Pré-req dos Amb'!E19* 'Envoltória e Pré-req dos Amb'!E21 * 40.81560322 + IF( 'Envoltória e Pré-req dos Amb'!E24=0,0,1) * 1631.261856 + IF( 'Envoltória e Pré-req dos Amb'!E28=0,0,1) * -965.5409191 +  'Envoltória e Pré-req dos Amb'!E24 * -21.6288447 +  'Envoltória e Pré-req dos Amb'!E13* 'Envoltória e Pré-req dos Amb'!E12 * -11.30578124 +  'Envoltória e Pré-req dos Amb'!E28* 'Envoltória e Pré-req dos Amb'!E32 * 43.11300969 +  'Envoltória e Pré-req dos Amb'!E24* 'Envoltória e Pré-req dos Amb'!E19 * -44.42426636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7.895858872 +  'Envoltória e Pré-req dos Amb'!E30* 'Envoltória e Pré-req dos Amb'!E33 * 80.41372738 +  'Envoltória e Pré-req dos Amb'!E31 * 63.18155943 +  'Envoltória e Pré-req dos Amb'!E35 * -269.4568913 +  'Envoltória e Pré-req dos Amb'!E29* 'Envoltória e Pré-req dos Amb'!E33 * 109.2535194 +  'Envoltória e Pré-req dos Amb'!E28* 'Envoltória e Pré-req dos Amb'!E33 * 63.53505303 +  'Envoltória e Pré-req dos Amb'!E34 * 6.289945583 +  'Envoltória e Pré-req dos Amb'!E24* 'Envoltória e Pré-req dos Amb'!E21 * -74.65093733 +  'Envoltória e Pré-req dos Amb'!E29 * -89.86769782 +  'Envoltória e Pré-req dos Amb'!E25* 'Envoltória e Pré-req dos Amb'!E19 * -14.26514457 +  'Envoltória e Pré-req dos Amb'!E29* 'Envoltória e Pré-req dos Amb'!E32 * 66.76332228 +  'Envoltória e Pré-req dos Amb'!E37 * -348.4967922 +  'Envoltória e Pré-req dos Amb'!E34* 'Envoltória e Pré-req dos Amb'!E20 * -0.002204483 + IF( 'Envoltória e Pré-req dos Amb'!E27=0,0,1) * 1010.646464 +  'Envoltória e Pré-req dos Amb'!E27 * -58.40278041 + IF( 'Envoltória e Pré-req dos Amb'!E31=0,0,1) * -441.3903064</f>
        <v>#DIV/0!</v>
      </c>
      <c r="X35" s="238" t="e">
        <f>IF(W35&lt;ESCALAS!$C$5, "A", IF(W35&lt;ESCALAS!$C$6,"B", IF(W35&lt;ESCALAS!$C$7, "C", IF(W35&lt;ESCALAS!$C$8, "D", IF(W35&gt;ESCALAS!$C$8, "E", "")))))</f>
        <v>#DIV/0!</v>
      </c>
      <c r="Y35" s="213"/>
      <c r="Z35" s="213"/>
      <c r="AA35" s="214" t="e">
        <f>((241751 +  'Envoltória e Pré-req dos Amb'!E35* 'Envoltória e Pré-req dos Amb'!E12 * 2597 +  'Envoltória e Pré-req dos Amb'!E22 * 48774 +  'Envoltória e Pré-req dos Amb'!E15* 'Envoltória e Pré-req dos Amb'!E12 * 4579 +  'Envoltória e Pré-req dos Amb'!E37 * -107685 + IF( 'Envoltória e Pré-req dos Amb'!E25=0,0,1) * -9455 +  'Envoltória e Pré-req dos Amb'!E34* 'Envoltória e Pré-req dos Amb'!E20 * -1 + ( 'Envoltória e Pré-req dos Amb'!E19* 'Envoltória e Pré-req dos Amb'!E21/ 'Envoltória e Pré-req dos Amb'!E20)*( 'Envoltória e Pré-req dos Amb'!E24+ 'Envoltória e Pré-req dos Amb'!E25+ 'Envoltória e Pré-req dos Amb'!E26+ 'Envoltória e Pré-req dos Amb'!E27) * 550 +  'Envoltória e Pré-req dos Amb'!E21 * -55377 + ( 'Envoltória e Pré-req dos Amb'!E16* 'Envoltória e Pré-req dos Amb'!E18/ 'Envoltória e Pré-req dos Amb'!E17)* 'Envoltória e Pré-req dos Amb'!E12 * 678 +  'Envoltória e Pré-req dos Amb'!E28* 'Envoltória e Pré-req dos Amb'!E32 * -9967 +  'Envoltória e Pré-req dos Amb'!E14* 'Envoltória e Pré-req dos Amb'!E12 * 1940 +  'Envoltória e Pré-req dos Amb'!E13* 'Envoltória e Pré-req dos Amb'!E12 * 2201 +  'Envoltória e Pré-req dos Amb'!E16* 'Envoltória e Pré-req dos Amb'!E18* 'Envoltória e Pré-req dos Amb'!E13* 'Envoltória e Pré-req dos Amb'!E12 * -1 +  'Envoltória e Pré-req dos Amb'!E12 * -4948 +  'Envoltória e Pré-req dos Amb'!E29* 'Envoltória e Pré-req dos Amb'!E39 * 2298 +  'Envoltória e Pré-req dos Amb'!E19 * -30992 +  'Envoltória e Pré-req dos Amb'!E30* 'Envoltória e Pré-req dos Amb'!E39 * 1938 +  'Envoltória e Pré-req dos Amb'!E25 * -1316 + ( 'Envoltória e Pré-req dos Amb'!E24+ 'Envoltória e Pré-req dos Amb'!E25+ 'Envoltória e Pré-req dos Amb'!E26+ 'Envoltória e Pré-req dos Amb'!E27)* 'Envoltória e Pré-req dos Amb'!E20 * -3 +  'Envoltória e Pré-req dos Amb'!E34 * 595 +  'Envoltória e Pré-req dos Amb'!E24* 'Envoltória e Pré-req dos Amb'!E21 * -1297 +  'Envoltória e Pré-req dos Amb'!E38 * 1384 +  'Envoltória e Pré-req dos Amb'!E17 * -31 +  'Envoltória e Pré-req dos Amb'!E13 * 77336 +  'Envoltória e Pré-req dos Amb'!E20 * 59 +  'Envoltória e Pré-req dos Amb'!E18 * -63183 +  'Envoltória e Pré-req dos Amb'!E25* 'Envoltória e Pré-req dos Amb'!E21 * -914 +  'Envoltória e Pré-req dos Amb'!E29 * 5548 +  'Envoltória e Pré-req dos Amb'!E24* 'Envoltória e Pré-req dos Amb'!E19 * 2189 +  'Envoltória e Pré-req dos Amb'!E25* 'Envoltória e Pré-req dos Amb'!E19 * 1814 +  'Envoltória e Pré-req dos Amb'!E15 * 20608 +  'Envoltória e Pré-req dos Amb'!E35/ 'Envoltória e Pré-req dos Amb'!E12 * -298543 +  'Envoltória e Pré-req dos Amb'!E31* 'Envoltória e Pré-req dos Amb'!E32 * -10004 +  'Envoltória e Pré-req dos Amb'!E31* 'Envoltória e Pré-req dos Amb'!E39 * 1831 +  'Envoltória e Pré-req dos Amb'!E14 * 11789 +  'Envoltória e Pré-req dos Amb'!E33 * 7671 + ( 'Envoltória e Pré-req dos Amb'!E24+ 'Envoltória e Pré-req dos Amb'!E25+ 'Envoltória e Pré-req dos Amb'!E26+ 'Envoltória e Pré-req dos Amb'!E27) * 5175 +  'Envoltória e Pré-req dos Amb'!E28* 'Envoltória e Pré-req dos Amb'!E39 * 1579 +  'Envoltória e Pré-req dos Amb'!E28 * -7565 +  'Envoltória e Pré-req dos Amb'!E25* 'Envoltória e Pré-req dos Amb'!E19* 'Envoltória e Pré-req dos Amb'!E21 * -1764 +  'Envoltória e Pré-req dos Amb'!E30* 'Envoltória e Pré-req dos Amb'!E32 * -7382 +  'Envoltória e Pré-req dos Amb'!E24* 'Envoltória e Pré-req dos Amb'!E19* 'Envoltória e Pré-req dos Amb'!E21 * -2165 +  'Envoltória e Pré-req dos Amb'!E24 * -4623 +  'Envoltória e Pré-req dos Amb'!E23 * -7637 +  'Envoltória e Pré-req dos Amb'!E31 * -2622 +  'Envoltória e Pré-req dos Amb'!E26* 'Envoltória e Pré-req dos Amb'!E21 * -3796 +  'Envoltória e Pré-req dos Amb'!E27* 'Envoltória e Pré-req dos Amb'!E21 * -3773 +  'Envoltória e Pré-req dos Amb'!E29* 'Envoltória e Pré-req dos Amb'!E33 * -7024 +  'Envoltória e Pré-req dos Amb'!E29*IMABS( 'Envoltória e Pré-req dos Amb'!E33-1) * -3591)/1000)/ 'Envoltória e Pré-req dos Amb'!E12</f>
        <v>#DIV/0!</v>
      </c>
      <c r="AB35" s="241" t="e">
        <f>IF(AA35&lt;ESCALAS!$C$25, "A", IF(AA35&lt;ESCALAS!$C$26,"B", IF(AA35&lt;ESCALAS!$C$27, "C", IF(AA35&lt;ESCALAS!$C$28, "D", IF(AA35&gt;ESCALAS!$C$28, "E", "")))))</f>
        <v>#DIV/0!</v>
      </c>
      <c r="AC35" s="213"/>
      <c r="AD35" s="213"/>
      <c r="AE35" s="214" t="e">
        <f xml:space="preserve"> 836.4188333 +  'Envoltória e Pré-req dos Amb'!E22 * 1002.285324 + ( 'Envoltória e Pré-req dos Amb'!E18*(IF( 'Envoltória e Pré-req dos Amb'!E13=0,0,1))) * 1248.761508 +  'Envoltória e Pré-req dos Amb'!E33 * -1042.85071 +  'Envoltória e Pré-req dos Amb'!E14* 'Envoltória e Pré-req dos Amb'!E12 * -7.967548792 +  'Envoltória e Pré-req dos Amb'!E21 * 1007.678586 +  'Envoltória e Pré-req dos Amb'!E35/ 'Envoltória e Pré-req dos Amb'!E12 * 2324.84673 + ( 'Envoltória e Pré-req dos Amb'!E17*(IF( 'Envoltória e Pré-req dos Amb'!E13=0,0,1))) * -0.303239456 + IF( 'Envoltória e Pré-req dos Amb'!E29=0,0,1) * -77.78384781 +  'Envoltória e Pré-req dos Amb'!E26* 'Envoltória e Pré-req dos Amb'!E19* 'Envoltória e Pré-req dos Amb'!E21 * 26.33625751 +  'Envoltória e Pré-req dos Amb'!E34* 'Envoltória e Pré-req dos Amb'!E20 * -0.001567458 +  'Envoltória e Pré-req dos Amb'!E14 * -605.5557258 + ( 'Envoltória e Pré-req dos Amb'!E16*(IF( 'Envoltória e Pré-req dos Amb'!E13=0,0,1)))*( 'Envoltória e Pré-req dos Amb'!E18*(IF( 'Envoltória e Pré-req dos Amb'!E13=0,0,1)))* 'Envoltória e Pré-req dos Amb'!E13* 'Envoltória e Pré-req dos Amb'!E12 * 25.18789663 +  'Envoltória e Pré-req dos Amb'!E32 * -830.67424 +  'Envoltória e Pré-req dos Amb'!E12 * 34.16200799 + ( 'Envoltória e Pré-req dos Amb'!E24+ 'Envoltória e Pré-req dos Amb'!E25+ 'Envoltória e Pré-req dos Amb'!E26+ 'Envoltória e Pré-req dos Amb'!E27) * -3.329242213 +  'Envoltória e Pré-req dos Amb'!E31*IMABS( 'Envoltória e Pré-req dos Amb'!E33-1) * 16.98561422 +  'Envoltória e Pré-req dos Amb'!E30* 'Envoltória e Pré-req dos Amb'!E32 * 70.17581615 +  'Envoltória e Pré-req dos Amb'!E20 * -0.042617325 +  'Envoltória e Pré-req dos Amb'!E29*IMABS( 'Envoltória e Pré-req dos Amb'!E33-1) * -54.17962866 +  'Envoltória e Pré-req dos Amb'!E24* 'Envoltória e Pré-req dos Amb'!E19* 'Envoltória e Pré-req dos Amb'!E21 * 14.1195394 +  'Envoltória e Pré-req dos Amb'!E15 * -114.4984705 + IF( 'Envoltória e Pré-req dos Amb'!E27=0,0,1) * 399.0020547 +  'Envoltória e Pré-req dos Amb'!E28* 'Envoltória e Pré-req dos Amb'!E33 * 2.446596682 + IF( 'Envoltória e Pré-req dos Amb'!E28=0,0,1) * -379.5777354 + IF( 'Envoltória e Pré-req dos Amb'!E24=0,0,1) * 738.1763019 +  'Envoltória e Pré-req dos Amb'!E24 * -4.23044584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5.59884434 +  'Envoltória e Pré-req dos Amb'!E13* 'Envoltória e Pré-req dos Amb'!E12 * -6.182932631 +  'Envoltória e Pré-req dos Amb'!E23 * -200.9447158 + ( 'Envoltória e Pré-req dos Amb'!E16*(IF( 'Envoltória e Pré-req dos Amb'!E13=0,0,1))) * -103.1091708 +  'Envoltória e Pré-req dos Amb'!E25* 'Envoltória e Pré-req dos Amb'!E19* 'Envoltória e Pré-req dos Amb'!E21 * 3.839978074 + IF( 'Envoltória e Pré-req dos Amb'!E26=0,0,1) * 431.940728 +  'Envoltória e Pré-req dos Amb'!E34 * 16.27400752 +  'Envoltória e Pré-req dos Amb'!E35* 'Envoltória e Pré-req dos Amb'!E12 * -20.41808077 + IF( 'Envoltória e Pré-req dos Amb'!E25=0,0,1) * 126.6339102 +  'Envoltória e Pré-req dos Amb'!E29* 'Envoltória e Pré-req dos Amb'!E32 * 51.15300398 +  'Envoltória e Pré-req dos Amb'!E31* 'Envoltória e Pré-req dos Amb'!E32 * 55.42487968 +  'Envoltória e Pré-req dos Amb'!E28* 'Envoltória e Pré-req dos Amb'!E32 * 79.20949217 +  'Envoltória e Pré-req dos Amb'!E27* 'Envoltória e Pré-req dos Amb'!E19* 'Envoltória e Pré-req dos Amb'!E21 * 15.3350994 +  'Envoltória e Pré-req dos Amb'!E25 * 26.09247753 +  'Envoltória e Pré-req dos Amb'!E28*IMABS( 'Envoltória e Pré-req dos Amb'!E33-1) * -34.77773789</f>
        <v>#DIV/0!</v>
      </c>
      <c r="AF35" s="238" t="e">
        <f>IF(AE35&lt;ESCALAS!$D$5, "A", IF(AE35&lt;ESCALAS!$D$6,"B", IF(AE35&lt;ESCALAS!$D$7, "C", IF(AE35&lt;ESCALAS!$D$8, "D", IF(AE35&gt;ESCALAS!$D$8, "E", "")))))</f>
        <v>#DIV/0!</v>
      </c>
      <c r="AG35" s="213"/>
      <c r="AH35" s="213"/>
      <c r="AI35" s="214" t="e">
        <f xml:space="preserve"> (6981.813636 +  'Envoltória e Pré-req dos Amb'!E20 * 0.371721623 +  'Envoltória e Pré-req dos Amb'!E12 * -122.4305767 + IF( 'Envoltória e Pré-req dos Amb'!E25=0,0,1) * 1557.344383 +  'Envoltória e Pré-req dos Amb'!E22 * 2109.486591 +  'Envoltória e Pré-req dos Amb'!E14 * 2802.393095 +  'Envoltória e Pré-req dos Amb'!E15 * 2479.960443 + ( 'Envoltória e Pré-req dos Amb'!E16*(IF( 'Envoltória e Pré-req dos Amb'!E13=0,0,1))) * 394.0458494 +  'Envoltória e Pré-req dos Amb'!E21 * -2521.912178 + ( 'Envoltória e Pré-req dos Amb'!E17*(IF( 'Envoltória e Pré-req dos Amb'!E13=0,0,1))) * -1.228038537 + ( 'Envoltória e Pré-req dos Amb'!E24+ 'Envoltória e Pré-req dos Amb'!E25+ 'Envoltória e Pré-req dos Amb'!E26+ 'Envoltória e Pré-req dos Amb'!E27) * 65.43697734 +  'Envoltória e Pré-req dos Amb'!E29 * 131.7351616 + IF( 'Envoltória e Pré-req dos Amb'!E28=0,0,1) * -543.4286365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14.05551198 +  'Envoltória e Pré-req dos Amb'!E23 * -1583.981412 +  'Envoltória e Pré-req dos Amb'!E19 * 990.0914519 +  'Envoltória e Pré-req dos Amb'!E32 * -1111.109932 +  'Envoltória e Pré-req dos Amb'!E13 * 4323.924072 + ( 'Envoltória e Pré-req dos Amb'!E18*(IF( 'Envoltória e Pré-req dos Amb'!E13=0,0,1))) * -3315.011854 +  'Envoltória e Pré-req dos Amb'!E35 * 1262.673739 + ( 'Envoltória e Pré-req dos Amb'!E24+ 'Envoltória e Pré-req dos Amb'!E25+ 'Envoltória e Pré-req dos Amb'!E26+ 'Envoltória e Pré-req dos Amb'!E27)* 'Envoltória e Pré-req dos Amb'!E20 * -0.021871315 +  'Envoltória e Pré-req dos Amb'!E24* 'Envoltória e Pré-req dos Amb'!E21 * -75.93700503 +  'Envoltória e Pré-req dos Amb'!E25* 'Envoltória e Pré-req dos Amb'!E21 * -80.33453709 +  'Envoltória e Pré-req dos Amb'!E35/ 'Envoltória e Pré-req dos Amb'!E12 * -15281.19376)/1000</f>
        <v>#DIV/0!</v>
      </c>
      <c r="AJ35" s="241" t="e">
        <f>IF(AI35&lt;ESCALAS!$D$25, "A", IF(AI35&lt;ESCALAS!$D$26,"B", IF(AI35&lt;ESCALAS!$D$27, "C", IF(AI35&lt;ESCALAS!$D$28, "D", IF(AI35&gt;ESCALAS!$D$28, "E", "")))))</f>
        <v>#DIV/0!</v>
      </c>
      <c r="AK35" s="213"/>
      <c r="AL35" s="213"/>
      <c r="AM35" s="214" t="e">
        <f xml:space="preserve"> 641.187885 +  'Envoltória e Pré-req dos Amb'!E22 * 748.0024 + ( 'Envoltória e Pré-req dos Amb'!E18*(IF( 'Envoltória e Pré-req dos Amb'!E13=0,0,1))) * 548.8264099 +  'Envoltória e Pré-req dos Amb'!E33 * -766.6239466 + ( 'Envoltória e Pré-req dos Amb'!E17*(IF( 'Envoltória e Pré-req dos Amb'!E13=0,0,1))) * -0.433248232 +  'Envoltória e Pré-req dos Amb'!E35/ 'Envoltória e Pré-req dos Amb'!E12 * 1518.102066 +  'Envoltória e Pré-req dos Amb'!E21 * 445.9667925 +  'Envoltória e Pré-req dos Amb'!E14 * -445.7625195 +  'Envoltória e Pré-req dos Amb'!E29*IMABS( 'Envoltória e Pré-req dos Amb'!E33-1) * -56.09637529 + ( 'Envoltória e Pré-req dos Amb'!E16*(IF( 'Envoltória e Pré-req dos Amb'!E13=0,0,1)))*( 'Envoltória e Pré-req dos Amb'!E18*(IF( 'Envoltória e Pré-req dos Amb'!E13=0,0,1)))* 'Envoltória e Pré-req dos Amb'!E13* 'Envoltória e Pré-req dos Amb'!E12 * 29.05099819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13.43182755 +  'Envoltória e Pré-req dos Amb'!E15 * -193.7315815 +  'Envoltória e Pré-req dos Amb'!E34* 'Envoltória e Pré-req dos Amb'!E20 * 0.000449549 +  'Envoltória e Pré-req dos Amb'!E31*IMABS( 'Envoltória e Pré-req dos Amb'!E33-1) * 33.3844377 + IF( 'Envoltória e Pré-req dos Amb'!E29=0,0,1) * -67.86109075 +  'Envoltória e Pré-req dos Amb'!E32 * -428.7391441 + ( 'Envoltória e Pré-req dos Amb'!E24+ 'Envoltória e Pré-req dos Amb'!E25+ 'Envoltória e Pré-req dos Amb'!E26+ 'Envoltória e Pré-req dos Amb'!E27) * -10.43567782 +  'Envoltória e Pré-req dos Amb'!E12 * 15.69719593 +  'Envoltória e Pré-req dos Amb'!E20 * -0.357751539 +  'Envoltória e Pré-req dos Amb'!E13* 'Envoltória e Pré-req dos Amb'!E12 * -13.18334695 + IF( 'Envoltória e Pré-req dos Amb'!E28=0,0,1) * -214.200059 + IF( 'Envoltória e Pré-req dos Amb'!E24=0,0,1) * 457.9107523 +  'Envoltória e Pré-req dos Amb'!E24 * 15.47594699 +  'Envoltória e Pré-req dos Amb'!E26* 'Envoltória e Pré-req dos Amb'!E19* 'Envoltória e Pré-req dos Amb'!E21 * 17.45120195 + IF( 'Envoltória e Pré-req dos Amb'!E27=0,0,1) * 452.3533738 +  'Envoltória e Pré-req dos Amb'!E30 * 15.69081975 +  'Envoltória e Pré-req dos Amb'!E13 * 738.0623912 + ( 'Envoltória e Pré-req dos Amb'!E16*(IF( 'Envoltória e Pré-req dos Amb'!E13=0,0,1))) * -302.0291238 +  'Envoltória e Pré-req dos Amb'!E29* 'Envoltória e Pré-req dos Amb'!E32 * 38.38849228 + IF( 'Envoltória e Pré-req dos Amb'!E25=0,0,1) * 60.56488601 + IF( 'Envoltória e Pré-req dos Amb'!E26=0,0,1) * 289.4002036 +  'Envoltória e Pré-req dos Amb'!E34 * 9.160394153 +  'Envoltória e Pré-req dos Amb'!E35* 'Envoltória e Pré-req dos Amb'!E12 * -10.22496888 +  'Envoltória e Pré-req dos Amb'!E14* 'Envoltória e Pré-req dos Amb'!E12 * 1.732333751 + ( 'Envoltória e Pré-req dos Amb'!E19* 'Envoltória e Pré-req dos Amb'!E21/ 'Envoltória e Pré-req dos Amb'!E20)*( 'Envoltória e Pré-req dos Amb'!E24+ 'Envoltória e Pré-req dos Amb'!E25+ 'Envoltória e Pré-req dos Amb'!E26+ 'Envoltória e Pré-req dos Amb'!E27) * 0.812970166 +  'Envoltória e Pré-req dos Amb'!E19 * -177.010526 +  'Envoltória e Pré-req dos Amb'!E23 * 101.9693559 +  'Envoltória e Pré-req dos Amb'!E28* 'Envoltória e Pré-req dos Amb'!E33 * 16.689804 +  'Envoltória e Pré-req dos Amb'!E25 * 26.97532108 +  'Envoltória e Pré-req dos Amb'!E27* 'Envoltória e Pré-req dos Amb'!E19* 'Envoltória e Pré-req dos Amb'!E21 * 8.355821307 +  'Envoltória e Pré-req dos Amb'!E30*IMABS( 'Envoltória e Pré-req dos Amb'!E33-1) * -13.36922974</f>
        <v>#DIV/0!</v>
      </c>
      <c r="AN35" s="238" t="e">
        <f>IF(AM35&lt;ESCALAS!$E$5, "A", IF(AM35&lt;ESCALAS!$E$6,"B", IF(AM35&lt;ESCALAS!$E$7, "C", IF(AM35&lt;ESCALAS!$E$8, "D", IF(AM35&gt;ESCALAS!$E$8, "E", "")))))</f>
        <v>#DIV/0!</v>
      </c>
      <c r="AO35" s="213"/>
      <c r="AP35" s="213"/>
      <c r="AQ35" s="214">
        <f>(-384.1715324 + 'Envoltória e Pré-req dos Amb'!E22 * 1948.761766 + 'Envoltória e Pré-req dos Amb'!E12 * 223.8194969 + 'Envoltória e Pré-req dos Amb'!E33 * 849.5126052 + 'Envoltória e Pré-req dos Amb'!E25* 'Envoltória e Pré-req dos Amb'!E19 * 2.690294206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19.64244138 + 'Envoltória e Pré-req dos Amb'!E15 * 1478.925431 + 'Envoltória e Pré-req dos Amb'!E21 * -2161.086863 + 'Envoltória e Pré-req dos Amb'!E13* 'Envoltória e Pré-req dos Amb'!E12 * 12.13315903 + 'Envoltória e Pré-req dos Amb'!E23 * -267.3458579 + 'Envoltória e Pré-req dos Amb'!E32 * -1788.629408 +( 'Envoltória e Pré-req dos Amb'!E17*(IF( 'Envoltória e Pré-req dos Amb'!E13=0,0,1))) * -1.028305276 + 'Envoltória e Pré-req dos Amb'!E13 * 4447.716182 +( 'Envoltória e Pré-req dos Amb'!E18*(IF( 'Envoltória e Pré-req dos Amb'!E13=0,0,1))) * -3292.095469 + 'Envoltória e Pré-req dos Amb'!E29 * 40.95033886 +IF( 'Envoltória e Pré-req dos Amb'!E28=0,0,1) * -272.8337308 +( 'Envoltória e Pré-req dos Amb'!E24+ 'Envoltória e Pré-req dos Amb'!E25+ 'Envoltória e Pré-req dos Amb'!E26+ 'Envoltória e Pré-req dos Amb'!E27) * 49.04021363 + 'Envoltória e Pré-req dos Amb'!E14 * 434.3085154 + 'Envoltória e Pré-req dos Amb'!E19 * 591.0911087 +IF( 'Envoltória e Pré-req dos Amb'!E24=0,0,1) * -120.600036 +( 'Envoltória e Pré-req dos Amb'!E16*(IF( 'Envoltória e Pré-req dos Amb'!E13=0,0,1))) * -742.1948355 +( 'Envoltória e Pré-req dos Amb'!E24+ 'Envoltória e Pré-req dos Amb'!E25+ 'Envoltória e Pré-req dos Amb'!E26+ 'Envoltória e Pré-req dos Amb'!E27)* 'Envoltória e Pré-req dos Amb'!E20 * -0.016929616 +IF( 'Envoltória e Pré-req dos Amb'!E25=0,0,1) * 851.6259847 + 'Envoltória e Pré-req dos Amb'!E24* 'Envoltória e Pré-req dos Amb'!E19* 'Envoltória e Pré-req dos Amb'!E21 * -34.36252394 + 'Envoltória e Pré-req dos Amb'!E35 * 1636.10823 + 'Envoltória e Pré-req dos Amb'!E25* 'Envoltória e Pré-req dos Amb'!E19* 'Envoltória e Pré-req dos Amb'!E21 * -29.78486643 + 'Envoltória e Pré-req dos Amb'!E35* 'Envoltória e Pré-req dos Amb'!E12 * -104.071993)/1000</f>
        <v>-0.38417153240000002</v>
      </c>
      <c r="AR35" s="241" t="str">
        <f>IF(AQ35&lt;ESCALAS!$E$25, "A", IF(AQ35&lt;ESCALAS!$E$26,"B", IF(AQ35&lt;ESCALAS!$E$27, "C", IF(AQ35&lt;ESCALAS!$E$28, "D", IF(AQ35&gt;ESCALAS!$E$28, "E", "")))))</f>
        <v>A</v>
      </c>
      <c r="AS35" s="213"/>
      <c r="AT35" s="213"/>
      <c r="AU35" s="214" t="e">
        <f xml:space="preserve"> 4957.705139 +  'Envoltória e Pré-req dos Amb'!E33 * -4358.312039 + ( 'Envoltória e Pré-req dos Amb'!E18*(IF( 'Envoltória e Pré-req dos Amb'!E13=0,0,1))) * 3875.502256 +  'Envoltória e Pré-req dos Amb'!E21 * 4833.632917 +  'Envoltória e Pré-req dos Amb'!E22 * 2649.139869 + IF( 'Envoltória e Pré-req dos Amb'!E27=0,0,1) * 2224.266357 +  'Envoltória e Pré-req dos Amb'!E14* 'Envoltória e Pré-req dos Amb'!E12 * -19.63405726 +  'Envoltória e Pré-req dos Amb'!E26* 'Envoltória e Pré-req dos Amb'!E19* 'Envoltória e Pré-req dos Amb'!E21 * 40.01092098 + IF( 'Envoltória e Pré-req dos Amb'!E24=0,0,1) * 3128.242127 +  'Envoltória e Pré-req dos Amb'!E15* 'Envoltória e Pré-req dos Amb'!E12 * -15.30348352 +  'Envoltória e Pré-req dos Amb'!E31*IMABS( 'Envoltória e Pré-req dos Amb'!E33-1) * 267.5110256 +  'Envoltória e Pré-req dos Amb'!E32 * -1923.144973 +  'Envoltória e Pré-req dos Amb'!E29*IMABS( 'Envoltória e Pré-req dos Amb'!E33-1) * -135.5828029 + ( 'Envoltória e Pré-req dos Amb'!E16*(IF( 'Envoltória e Pré-req dos Amb'!E13=0,0,1)))*( 'Envoltória e Pré-req dos Amb'!E18*(IF( 'Envoltória e Pré-req dos Amb'!E13=0,0,1)))* 'Envoltória e Pré-req dos Amb'!E13* 'Envoltória e Pré-req dos Amb'!E12 * 76.02810984 +  'Envoltória e Pré-req dos Amb'!E13* 'Envoltória e Pré-req dos Amb'!E12 * -21.88970544 + IF( 'Envoltória e Pré-req dos Amb'!E28=0,0,1) * -1503.223434 +  'Envoltória e Pré-req dos Amb'!E24 * -31.35605959 +  'Envoltória e Pré-req dos Amb'!E25 * 106.7381243 + IF( 'Envoltória e Pré-req dos Amb'!E26=0,0,1) * 1524.370349 +  'Envoltória e Pré-req dos Amb'!E24* 'Envoltória e Pré-req dos Amb'!E19* 'Envoltória e Pré-req dos Amb'!E21 * 41.40085697 + IF( 'Envoltória e Pré-req dos Amb'!E30=0,0,1) * -1089.083968 +  'Envoltória e Pré-req dos Amb'!E35/ 'Envoltória e Pré-req dos Amb'!E12 * 4861.219122 +  'Envoltória e Pré-req dos Amb'!E14 * -703.1388637 + ( 'Envoltória e Pré-req dos Amb'!E24+ 'Envoltória e Pré-req dos Amb'!E25+ 'Envoltória e Pré-req dos Amb'!E26+ 'Envoltória e Pré-req dos Amb'!E27) * -3.400420414 +  'Envoltória e Pré-req dos Amb'!E27* 'Envoltória e Pré-req dos Amb'!E19* 'Envoltória e Pré-req dos Amb'!E21 * 55.47371587 + ( 'Envoltória e Pré-req dos Amb'!E17*(IF( 'Envoltória e Pré-req dos Amb'!E13=0,0,1))) * -0.384652867 +  'Envoltória e Pré-req dos Amb'!E23 * 338.3053989 + ( 'Envoltória e Pré-req dos Amb'!E16*(IF( 'Envoltória e Pré-req dos Amb'!E13=0,0,1))) * -556.2222237 +  'Envoltória e Pré-req dos Amb'!E26* 'Envoltória e Pré-req dos Amb'!E21 * 91.98602634 + IF( 'Envoltória e Pré-req dos Amb'!E25=0,0,1) * 340.0819364 +  'Envoltória e Pré-req dos Amb'!E15 * -398.7254756 +  'Envoltória e Pré-req dos Amb'!E30*IMABS( 'Envoltória e Pré-req dos Amb'!E33-1) * 66.46885617 +  'Envoltória e Pré-req dos Amb'!E28* 'Envoltória e Pré-req dos Amb'!E33 * -40.67937476 +  'Envoltória e Pré-req dos Amb'!E35* 'Envoltória e Pré-req dos Amb'!E12 * -78.90770328 +  'Envoltória e Pré-req dos Amb'!E34 * 59.97553455 +  'Envoltória e Pré-req dos Amb'!E12 * 152.9114897 +  'Envoltória e Pré-req dos Amb'!E28* 'Envoltória e Pré-req dos Amb'!E32 * 98.27866737 +  'Envoltória e Pré-req dos Amb'!E29* 'Envoltória e Pré-req dos Amb'!E32 * 112.5051338 +  'Envoltória e Pré-req dos Amb'!E30* 'Envoltória e Pré-req dos Amb'!E32 * 93.0504001 + IF( 'Envoltória e Pré-req dos Amb'!E29=0,0,1) * -586.451797</f>
        <v>#DIV/0!</v>
      </c>
      <c r="AV35" s="238" t="e">
        <f>IF(AU35&lt;ESCALAS!$H$5, "A", IF(AU35&lt;ESCALAS!$H$6,"B", IF(AU35&lt;ESCALAS!$H$7, "C", IF(AU35&lt;ESCALAS!$H$8, "D", IF(AU35&gt;ESCALAS!$H$8, "E", "")))))</f>
        <v>#DIV/0!</v>
      </c>
      <c r="AW35" s="213"/>
      <c r="AX35" s="213"/>
      <c r="AY35" s="214" t="e">
        <f xml:space="preserve"> 2761.081043 +  'Envoltória e Pré-req dos Amb'!E22 * 3125.513889 + ( 'Envoltória e Pré-req dos Amb'!E18*(IF( 'Envoltória e Pré-req dos Amb'!E13=0,0,1))) * 3942.257458 +  'Envoltória e Pré-req dos Amb'!E33 * -3602.930123 +  'Envoltória e Pré-req dos Amb'!E14* 'Envoltória e Pré-req dos Amb'!E12 * -28.77883042 +  'Envoltória e Pré-req dos Amb'!E21 * 4083.27653 +  'Envoltória e Pré-req dos Amb'!E23 * -1291.108542 +  'Envoltória e Pré-req dos Amb'!E35/ 'Envoltória e Pré-req dos Amb'!E12 * 2391.401931 + IF( 'Envoltória e Pré-req dos Amb'!E29=0,0,1) * -513.1324955 + ( 'Envoltória e Pré-req dos Amb'!E24+ 'Envoltória e Pré-req dos Amb'!E25+ 'Envoltória e Pré-req dos Amb'!E26+ 'Envoltória e Pré-req dos Amb'!E27) * -0.419660759 +  'Envoltória e Pré-req dos Amb'!E14 * -2285.279327 + ( 'Envoltória e Pré-req dos Amb'!E17*(IF( 'Envoltória e Pré-req dos Amb'!E13=0,0,1))) * -1.007499456 + ( 'Envoltória e Pré-req dos Amb'!E16*(IF( 'Envoltória e Pré-req dos Amb'!E13=0,0,1)))*( 'Envoltória e Pré-req dos Amb'!E18*(IF( 'Envoltória e Pré-req dos Amb'!E13=0,0,1)))* 'Envoltória e Pré-req dos Amb'!E13* 'Envoltória e Pré-req dos Amb'!E12 * 49.7463675 + IF( 'Envoltória e Pré-req dos Amb'!E26=0,0,1) * 1146.874551 +  'Envoltória e Pré-req dos Amb'!E29*IF( 'Envoltória e Pré-req dos Amb'!E33=0,1,0) * -199.963329 +  'Envoltória e Pré-req dos Amb'!E12 * 85.37249653 +  'Envoltória e Pré-req dos Amb'!E32 * -2857.671131 + (( 'Envoltória e Pré-req dos Amb'!E16*(IF( 'Envoltória e Pré-req dos Amb'!E13=0,0,1)))*( 'Envoltória e Pré-req dos Amb'!E18*(IF( 'Envoltória e Pré-req dos Amb'!E13=0,0,1)))/(IF(( 'Envoltória e Pré-req dos Amb'!E17*(IF( 'Envoltória e Pré-req dos Amb'!E13=0,0,1)))=0,1,( 'Envoltória e Pré-req dos Amb'!E17*(IF( 'Envoltória e Pré-req dos Amb'!E13=0,0,1))))))* 'Envoltória e Pré-req dos Amb'!E12 * 16.05374832 +  'Envoltória e Pré-req dos Amb'!E34 * 28.18486857 +  'Envoltória e Pré-req dos Amb'!E24* 'Envoltória e Pré-req dos Amb'!E19* 'Envoltória e Pré-req dos Amb'!E21 * 340.8291347 + IF( 'Envoltória e Pré-req dos Amb'!E27=0,0,1) * 2184.360193 + IF( 'Envoltória e Pré-req dos Amb'!E24=0,0,1) * 2581.419875 +  'Envoltória e Pré-req dos Amb'!E25* 'Envoltória e Pré-req dos Amb'!E19 * 15.94637034 +  'Envoltória e Pré-req dos Amb'!E26* 'Envoltória e Pré-req dos Amb'!E19* 'Envoltória e Pré-req dos Amb'!E21 * 61.7514998 +  'Envoltória e Pré-req dos Amb'!E30* 'Envoltória e Pré-req dos Amb'!E32 * 353.0820494 + IF( 'Envoltória e Pré-req dos Amb'!E25=0,0,1) * 825.5821922 +  'Envoltória e Pré-req dos Amb'!E34* 'Envoltória e Pré-req dos Amb'!E20 * -0.007763728 +  'Envoltória e Pré-req dos Amb'!E31*IMABS( 'Envoltória e Pré-req dos Amb'!E33-1) * 49.95090521 +  'Envoltória e Pré-req dos Amb'!E28* 'Envoltória e Pré-req dos Amb'!E32 * 431.5161264 + IF( 'Envoltória e Pré-req dos Amb'!E28=0,0,1) * -1237.022913 +  'Envoltória e Pré-req dos Amb'!E35* 'Envoltória e Pré-req dos Amb'!E12 * -46.92716963 +  'Envoltória e Pré-req dos Amb'!E29* 'Envoltória e Pré-req dos Amb'!E32 * 338.6678735 +  'Envoltória e Pré-req dos Amb'!E31* 'Envoltória e Pré-req dos Amb'!E32 * 383.4189166 +  'Envoltória e Pré-req dos Amb'!E27* 'Envoltória e Pré-req dos Amb'!E19* 'Envoltória e Pré-req dos Amb'!E21 * 43.06398632 +  'Envoltória e Pré-req dos Amb'!E20 * 0.401532033 +  'Envoltória e Pré-req dos Amb'!E28 * -156.2398892 +  'Envoltória e Pré-req dos Amb'!E31 * -158.3389082 +  'Envoltória e Pré-req dos Amb'!E29 * -141.7571063 +  'Envoltória e Pré-req dos Amb'!E35 * 614.7558443 +  'Envoltória e Pré-req dos Amb'!E30 * -80.6791752 +  'Envoltória e Pré-req dos Amb'!E24* 'Envoltória e Pré-req dos Amb'!E21 * -636.1283936 +  'Envoltória e Pré-req dos Amb'!E24* 'Envoltória e Pré-req dos Amb'!E19 * -205.49867 +  'Envoltória e Pré-req dos Amb'!E24 * 375.6430961 +  'Envoltória e Pré-req dos Amb'!E27 * -67.21835767 + IF( 'Envoltória e Pré-req dos Amb'!E31=0,0,1) * -708.5751101</f>
        <v>#DIV/0!</v>
      </c>
      <c r="AZ35" s="238" t="e">
        <f>IF(AY35&lt;ESCALAS!$F$5, "A", IF(AY35&lt;ESCALAS!$F$6,"B", IF(AY35&lt;ESCALAS!$F$7, "C", IF(AY35&lt;ESCALAS!$F$8, "D", IF(AY35&gt;ESCALAS!$F$8, "E", "")))))</f>
        <v>#DIV/0!</v>
      </c>
      <c r="BA35" s="213"/>
      <c r="BB35" s="213"/>
      <c r="BC35" s="214" t="e">
        <f xml:space="preserve"> 16195.93769 +  'Envoltória e Pré-req dos Amb'!E33 * -6292.188506 + ( 'Envoltória e Pré-req dos Amb'!E18*(IF( 'Envoltória e Pré-req dos Amb'!E13=0,0,1))) * 5145.008686 +  'Envoltória e Pré-req dos Amb'!E22 * 3727.913793 +  'Envoltória e Pré-req dos Amb'!E21 * 8932.324779 +  'Envoltória e Pré-req dos Amb'!E14* 'Envoltória e Pré-req dos Amb'!E12 * -52.72615468 + IF( 'Envoltória e Pré-req dos Amb'!E29=0,0,1) * 72.71539897 + ( 'Envoltória e Pré-req dos Amb'!E24+ 'Envoltória e Pré-req dos Amb'!E25+ 'Envoltória e Pré-req dos Amb'!E26+ 'Envoltória e Pré-req dos Amb'!E27) * 520.0972559 +  'Envoltória e Pré-req dos Amb'!E23 * -1648.336274 +  'Envoltória e Pré-req dos Amb'!E14 * -2738.087333 +  'Envoltória e Pré-req dos Amb'!E15* 'Envoltória e Pré-req dos Amb'!E12 * -25.33748102 +  'Envoltória e Pré-req dos Amb'!E29*IMABS( 'Envoltória e Pré-req dos Amb'!E33-1) * -298.4915201 +  'Envoltória e Pré-req dos Amb'!E26* 'Envoltória e Pré-req dos Amb'!E19* 'Envoltória e Pré-req dos Amb'!E21 * 94.71873638 + ( 'Envoltória e Pré-req dos Amb'!E16*(IF( 'Envoltória e Pré-req dos Amb'!E13=0,0,1)))*( 'Envoltória e Pré-req dos Amb'!E18*(IF( 'Envoltória e Pré-req dos Amb'!E13=0,0,1)))* 'Envoltória e Pré-req dos Amb'!E13* 'Envoltória e Pré-req dos Amb'!E12 * 110.3608956 + ( 'Envoltória e Pré-req dos Amb'!E17*(IF( 'Envoltória e Pré-req dos Amb'!E13=0,0,1))) * -0.898547724 +  'Envoltória e Pré-req dos Amb'!E35/ 'Envoltória e Pré-req dos Amb'!E12 * 9610.901092 +  'Envoltória e Pré-req dos Amb'!E25 * -434.0246683 +  'Envoltória e Pré-req dos Amb'!E32 * -2302.377274 +  'Envoltória e Pré-req dos Amb'!E34* 'Envoltória e Pré-req dos Amb'!E20 * -0.011919624 + IF( 'Envoltória e Pré-req dos Amb'!E28=0,0,1) * -1806.593218 + IF( 'Envoltória e Pré-req dos Amb'!E24=0,0,1) * 3647.330823 +  'Envoltória e Pré-req dos Amb'!E27* 'Envoltória e Pré-req dos Amb'!E19* 'Envoltória e Pré-req dos Amb'!E21 * 469.8835898 + ( 'Envoltória e Pré-req dos Amb'!E16*(IF( 'Envoltória e Pré-req dos Amb'!E13=0,0,1))) * -1341.294799 +  'Envoltória e Pré-req dos Amb'!E24 * -586.4147006 +  'Envoltória e Pré-req dos Amb'!E28* 'Envoltória e Pré-req dos Amb'!E32 * 416.5897659 +  'Envoltória e Pré-req dos Amb'!E28 * -182.6811426 +  'Envoltória e Pré-req dos Amb'!E24* 'Envoltória e Pré-req dos Amb'!E19* 'Envoltória e Pré-req dos Amb'!E21 * 63.2489521 + ( 'Envoltória e Pré-req dos Amb'!E19* 'Envoltória e Pré-req dos Amb'!E21/ 'Envoltória e Pré-req dos Amb'!E20)*( 'Envoltória e Pré-req dos Amb'!E24+ 'Envoltória e Pré-req dos Amb'!E25+ 'Envoltória e Pré-req dos Amb'!E26+ 'Envoltória e Pré-req dos Amb'!E27) * -5.194387731 + IF( 'Envoltória e Pré-req dos Amb'!E26=0,0,1) * 2421.022147 + IF( 'Envoltória e Pré-req dos Amb'!E27=0,0,1) * 3114.187848 +  'Envoltória e Pré-req dos Amb'!E34 * 27.05374095 +  'Envoltória e Pré-req dos Amb'!E35 * -693.2785908 +  'Envoltória e Pré-req dos Amb'!E31* 'Envoltória e Pré-req dos Amb'!E33 * -99.15706979 +  'Envoltória e Pré-req dos Amb'!E13* 'Envoltória e Pré-req dos Amb'!E12 * -30.15579692 +  'Envoltória e Pré-req dos Amb'!E13 * 1673.329673 +  'Envoltória e Pré-req dos Amb'!E27* 'Envoltória e Pré-req dos Amb'!E21 * -868.538084 +  'Envoltória e Pré-req dos Amb'!E20 * 1.006532661 + ( 'Envoltória e Pré-req dos Amb'!E24+ 'Envoltória e Pré-req dos Amb'!E25+ 'Envoltória e Pré-req dos Amb'!E26+ 'Envoltória e Pré-req dos Amb'!E27)* 'Envoltória e Pré-req dos Amb'!E20 * -0.022638015 +  'Envoltória e Pré-req dos Amb'!E27* 'Envoltória e Pré-req dos Amb'!E19 * -279.5554246 +  'Envoltória e Pré-req dos Amb'!E26 * -540.0450775</f>
        <v>#DIV/0!</v>
      </c>
      <c r="BD35" s="238" t="e">
        <f>IF(BC35&lt;ESCALAS!$G$5, "A", IF(BC35&lt;ESCALAS!$G$6,"B", IF(BC35&lt;ESCALAS!$G$7, "C", IF(BC35&lt;ESCALAS!$G$8, "D", IF(BC35&gt;ESCALAS!$G$8, "E", "")))))</f>
        <v>#DIV/0!</v>
      </c>
      <c r="BE35" s="213"/>
      <c r="BF35" s="213"/>
    </row>
    <row r="36" spans="2:58" x14ac:dyDescent="0.2">
      <c r="F36" s="195"/>
      <c r="G36" s="195"/>
      <c r="H36" s="195"/>
      <c r="I36" s="195"/>
      <c r="J36" s="195"/>
      <c r="K36" s="195"/>
      <c r="L36" s="195"/>
      <c r="M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95"/>
      <c r="AL36" s="195"/>
      <c r="AM36" s="195"/>
      <c r="AN36" s="195"/>
      <c r="AO36" s="195"/>
      <c r="AP36" s="195"/>
      <c r="AQ36" s="195"/>
      <c r="AR36" s="195"/>
      <c r="AS36" s="195"/>
      <c r="AT36" s="195"/>
      <c r="AU36" s="195"/>
      <c r="AV36" s="195"/>
      <c r="AW36" s="195"/>
      <c r="AX36" s="195"/>
      <c r="AY36" s="195"/>
      <c r="AZ36" s="195"/>
      <c r="BA36" s="195"/>
      <c r="BB36" s="195"/>
      <c r="BC36" s="195"/>
      <c r="BD36" s="195"/>
      <c r="BE36" s="195"/>
      <c r="BF36" s="195"/>
    </row>
    <row r="39" spans="2:58" x14ac:dyDescent="0.2">
      <c r="Q39" s="205"/>
      <c r="R39" s="205"/>
      <c r="S39" s="205"/>
      <c r="T39" s="205"/>
      <c r="U39" s="205"/>
      <c r="V39" s="205"/>
      <c r="W39" s="205"/>
      <c r="X39" s="205"/>
      <c r="Y39" s="205"/>
      <c r="Z39" s="205"/>
      <c r="AA39" s="205"/>
      <c r="AB39" s="205"/>
    </row>
    <row r="40" spans="2:58" x14ac:dyDescent="0.2">
      <c r="Q40" s="205"/>
      <c r="R40" s="205"/>
      <c r="S40" s="205"/>
      <c r="T40" s="205"/>
      <c r="Y40" s="205"/>
      <c r="Z40" s="205"/>
      <c r="AA40" s="205"/>
      <c r="AB40" s="205"/>
    </row>
    <row r="41" spans="2:58" x14ac:dyDescent="0.2">
      <c r="Q41" s="205"/>
      <c r="R41" s="205"/>
      <c r="S41" s="205"/>
      <c r="T41" s="205"/>
      <c r="U41" s="205"/>
      <c r="V41" s="205"/>
      <c r="W41" s="205"/>
      <c r="X41" s="205"/>
      <c r="Y41" s="205"/>
      <c r="Z41" s="205"/>
      <c r="AA41" s="205"/>
      <c r="AB41" s="205"/>
    </row>
    <row r="42" spans="2:58" x14ac:dyDescent="0.2">
      <c r="Q42" s="205"/>
      <c r="R42" s="205"/>
      <c r="S42" s="205"/>
      <c r="T42" s="205"/>
      <c r="U42" s="205"/>
      <c r="V42" s="205"/>
      <c r="W42" s="205"/>
      <c r="X42" s="205"/>
      <c r="Y42" s="205"/>
      <c r="Z42" s="205"/>
      <c r="AA42" s="205"/>
      <c r="AB42" s="205"/>
    </row>
    <row r="49" ht="12.75" customHeight="1" x14ac:dyDescent="0.2"/>
    <row r="53" ht="12.75" customHeight="1" x14ac:dyDescent="0.2"/>
    <row r="57" ht="12.75" customHeight="1" x14ac:dyDescent="0.2"/>
    <row r="62" ht="12.75" customHeight="1" x14ac:dyDescent="0.2"/>
    <row r="78" spans="2:58" s="195" customFormat="1" x14ac:dyDescent="0.2">
      <c r="B78" s="204"/>
      <c r="C78" s="204"/>
      <c r="D78" s="204"/>
      <c r="E78" s="204"/>
      <c r="F78" s="204"/>
      <c r="G78" s="204"/>
      <c r="H78" s="204"/>
      <c r="I78" s="204"/>
      <c r="J78" s="204"/>
      <c r="K78" s="204"/>
      <c r="L78" s="204"/>
      <c r="M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c r="AR78" s="204"/>
      <c r="AS78" s="204"/>
      <c r="AT78" s="204"/>
      <c r="AU78" s="204"/>
      <c r="AV78" s="204"/>
      <c r="AW78" s="204"/>
      <c r="AX78" s="204"/>
      <c r="AY78" s="204"/>
      <c r="AZ78" s="204"/>
      <c r="BA78" s="204"/>
      <c r="BB78" s="204"/>
      <c r="BC78" s="204"/>
      <c r="BD78" s="204"/>
      <c r="BE78" s="204"/>
      <c r="BF78" s="204"/>
    </row>
  </sheetData>
  <sheetProtection algorithmName="SHA-512" hashValue="bAdEZh2N8uc0YopfGWGdk7oI6V0SrV6Mzw5ZmOx/KXHG69PqNQPRhitRYzcxCurut0sf/Uc7Oek5jN6PbE158Q==" saltValue="aCCE0mBBEBND+RdDvBaTgQ==" spinCount="100000" sheet="1" objects="1" scenarios="1"/>
  <mergeCells count="44">
    <mergeCell ref="O11:R11"/>
    <mergeCell ref="S11:V11"/>
    <mergeCell ref="O10:V10"/>
    <mergeCell ref="W12:X12"/>
    <mergeCell ref="B30:B31"/>
    <mergeCell ref="O12:P12"/>
    <mergeCell ref="Q12:R12"/>
    <mergeCell ref="S12:T12"/>
    <mergeCell ref="U12:V12"/>
    <mergeCell ref="B20:B23"/>
    <mergeCell ref="B17:B19"/>
    <mergeCell ref="B14:B16"/>
    <mergeCell ref="B24:B27"/>
    <mergeCell ref="B28:B29"/>
    <mergeCell ref="AU10:AX10"/>
    <mergeCell ref="AM11:AP11"/>
    <mergeCell ref="AM10:AT10"/>
    <mergeCell ref="AQ11:AT11"/>
    <mergeCell ref="AE10:AL10"/>
    <mergeCell ref="AE11:AH11"/>
    <mergeCell ref="Y12:Z12"/>
    <mergeCell ref="W10:AD10"/>
    <mergeCell ref="W11:Z11"/>
    <mergeCell ref="AA11:AD11"/>
    <mergeCell ref="AE12:AF12"/>
    <mergeCell ref="AG12:AH12"/>
    <mergeCell ref="AI12:AJ12"/>
    <mergeCell ref="AK12:AL12"/>
    <mergeCell ref="AI11:AL11"/>
    <mergeCell ref="AS12:AT12"/>
    <mergeCell ref="AQ12:AR12"/>
    <mergeCell ref="AO12:AP12"/>
    <mergeCell ref="AM12:AN12"/>
    <mergeCell ref="AW12:AX12"/>
    <mergeCell ref="AU12:AV12"/>
    <mergeCell ref="BA12:BB12"/>
    <mergeCell ref="AY12:AZ12"/>
    <mergeCell ref="AY11:BB11"/>
    <mergeCell ref="AU11:AX11"/>
    <mergeCell ref="AY10:BB10"/>
    <mergeCell ref="BE12:BF12"/>
    <mergeCell ref="BC12:BD12"/>
    <mergeCell ref="BC11:BF11"/>
    <mergeCell ref="BC10:BF10"/>
  </mergeCells>
  <conditionalFormatting sqref="H33 L33 G13:G32 I13:I32 K13:K32 M13:N32">
    <cfRule type="cellIs" dxfId="41" priority="98" operator="equal">
      <formula>"Não influencia"</formula>
    </cfRule>
    <cfRule type="cellIs" dxfId="40" priority="99" operator="equal">
      <formula>"E"</formula>
    </cfRule>
    <cfRule type="cellIs" dxfId="39" priority="100" operator="equal">
      <formula>"D"</formula>
    </cfRule>
    <cfRule type="cellIs" dxfId="38" priority="101" operator="equal">
      <formula>"C"</formula>
    </cfRule>
    <cfRule type="cellIs" dxfId="37" priority="102" operator="equal">
      <formula>"B"</formula>
    </cfRule>
    <cfRule type="cellIs" dxfId="36" priority="103" operator="equal">
      <formula>"A"</formula>
    </cfRule>
  </conditionalFormatting>
  <conditionalFormatting sqref="K13:K32 M13:M32 L33">
    <cfRule type="containsText" dxfId="35" priority="37" operator="containsText" text="Não se aplica">
      <formula>NOT(ISERROR(SEARCH("Não se aplica",K13)))</formula>
    </cfRule>
  </conditionalFormatting>
  <conditionalFormatting sqref="F13:M33">
    <cfRule type="containsErrors" dxfId="34" priority="1">
      <formula>ISERROR(F13)</formula>
    </cfRule>
  </conditionalFormatting>
  <dataValidations count="2">
    <dataValidation type="decimal" allowBlank="1" showInputMessage="1" showErrorMessage="1" sqref="E16 E19">
      <formula1>0.1</formula1>
      <formula2>0.9</formula2>
    </dataValidation>
    <dataValidation type="decimal" allowBlank="1" showInputMessage="1" showErrorMessage="1" sqref="E29">
      <formula1>0</formula1>
      <formula2>1</formula2>
    </dataValidation>
  </dataValidations>
  <pageMargins left="0.511811024" right="0.511811024" top="0.78740157499999996" bottom="0.78740157499999996" header="0.31496062000000002" footer="0.31496062000000002"/>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locked="0" defaultSize="0" print="0" autoFill="0" autoPict="0" macro="[0]!Copiarpeso">
                <anchor moveWithCells="1" sizeWithCells="1">
                  <from>
                    <xdr:col>58</xdr:col>
                    <xdr:colOff>180975</xdr:colOff>
                    <xdr:row>13</xdr:row>
                    <xdr:rowOff>142875</xdr:rowOff>
                  </from>
                  <to>
                    <xdr:col>58</xdr:col>
                    <xdr:colOff>1190625</xdr:colOff>
                    <xdr:row>16</xdr:row>
                    <xdr:rowOff>9525</xdr:rowOff>
                  </to>
                </anchor>
              </controlPr>
            </control>
          </mc:Choice>
        </mc:AlternateContent>
        <mc:AlternateContent xmlns:mc="http://schemas.openxmlformats.org/markup-compatibility/2006">
          <mc:Choice Requires="x14">
            <control shapeId="6146" r:id="rId5" name="Button 2">
              <controlPr locked="0" defaultSize="0" print="0" autoFill="0" autoPict="0" macro="[0]!Apagarpeso">
                <anchor moveWithCells="1" sizeWithCells="1">
                  <from>
                    <xdr:col>58</xdr:col>
                    <xdr:colOff>180975</xdr:colOff>
                    <xdr:row>16</xdr:row>
                    <xdr:rowOff>104775</xdr:rowOff>
                  </from>
                  <to>
                    <xdr:col>58</xdr:col>
                    <xdr:colOff>1190625</xdr:colOff>
                    <xdr:row>18</xdr:row>
                    <xdr:rowOff>133350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H29"/>
  <sheetViews>
    <sheetView topLeftCell="A4" workbookViewId="0">
      <selection activeCell="G24" sqref="G24"/>
    </sheetView>
  </sheetViews>
  <sheetFormatPr defaultColWidth="9.140625" defaultRowHeight="12.75" x14ac:dyDescent="0.2"/>
  <cols>
    <col min="1" max="1" width="11.28515625" style="1" bestFit="1" customWidth="1"/>
    <col min="2" max="16384" width="9.140625" style="1"/>
  </cols>
  <sheetData>
    <row r="1" spans="1:8" ht="24.75" customHeight="1" thickBot="1" x14ac:dyDescent="0.25">
      <c r="A1" s="13"/>
      <c r="B1" s="402" t="s">
        <v>15</v>
      </c>
      <c r="C1" s="402"/>
      <c r="D1" s="402"/>
      <c r="E1" s="402"/>
      <c r="F1" s="402"/>
      <c r="G1" s="402"/>
      <c r="H1" s="403"/>
    </row>
    <row r="2" spans="1:8" ht="13.5" thickBot="1" x14ac:dyDescent="0.25">
      <c r="A2" s="14"/>
      <c r="B2" s="2" t="s">
        <v>6</v>
      </c>
      <c r="C2" s="3" t="s">
        <v>7</v>
      </c>
      <c r="D2" s="4" t="s">
        <v>2</v>
      </c>
      <c r="E2" s="4" t="s">
        <v>8</v>
      </c>
      <c r="F2" s="4" t="s">
        <v>9</v>
      </c>
      <c r="G2" s="4" t="s">
        <v>10</v>
      </c>
      <c r="H2" s="5" t="s">
        <v>11</v>
      </c>
    </row>
    <row r="3" spans="1:8" x14ac:dyDescent="0.2">
      <c r="A3" s="14" t="s">
        <v>21</v>
      </c>
      <c r="B3" s="6">
        <v>0</v>
      </c>
      <c r="C3" s="1">
        <v>225</v>
      </c>
      <c r="D3" s="6">
        <v>0</v>
      </c>
      <c r="E3" s="6">
        <v>0</v>
      </c>
      <c r="F3" s="6">
        <v>0</v>
      </c>
      <c r="G3" s="1">
        <v>6509</v>
      </c>
      <c r="H3" s="1">
        <v>2053</v>
      </c>
    </row>
    <row r="4" spans="1:8" x14ac:dyDescent="0.2">
      <c r="A4" s="14" t="s">
        <v>22</v>
      </c>
      <c r="C4" s="1">
        <v>2085</v>
      </c>
      <c r="D4" s="1">
        <v>822</v>
      </c>
      <c r="E4" s="1">
        <v>727</v>
      </c>
      <c r="F4" s="1">
        <v>2745</v>
      </c>
      <c r="G4" s="1">
        <v>6057</v>
      </c>
      <c r="H4" s="1">
        <v>3156</v>
      </c>
    </row>
    <row r="5" spans="1:8" x14ac:dyDescent="0.2">
      <c r="A5" s="15" t="s">
        <v>17</v>
      </c>
      <c r="B5" s="16">
        <v>143</v>
      </c>
      <c r="C5" s="16">
        <f t="shared" ref="C5:H5" si="0">C4+C3</f>
        <v>2310</v>
      </c>
      <c r="D5" s="16">
        <f t="shared" si="0"/>
        <v>822</v>
      </c>
      <c r="E5" s="16">
        <f t="shared" si="0"/>
        <v>727</v>
      </c>
      <c r="F5" s="16">
        <f t="shared" si="0"/>
        <v>2745</v>
      </c>
      <c r="G5" s="16">
        <f t="shared" si="0"/>
        <v>12566</v>
      </c>
      <c r="H5" s="17">
        <f t="shared" si="0"/>
        <v>5209</v>
      </c>
    </row>
    <row r="6" spans="1:8" x14ac:dyDescent="0.2">
      <c r="A6" s="18" t="s">
        <v>16</v>
      </c>
      <c r="B6" s="19">
        <v>287</v>
      </c>
      <c r="C6" s="19">
        <f t="shared" ref="C6:E9" si="1">C5+C$4</f>
        <v>4395</v>
      </c>
      <c r="D6" s="19">
        <f t="shared" si="1"/>
        <v>1644</v>
      </c>
      <c r="E6" s="19">
        <f t="shared" si="1"/>
        <v>1454</v>
      </c>
      <c r="F6" s="19">
        <f t="shared" ref="F6:H9" si="2">F5+F$4</f>
        <v>5490</v>
      </c>
      <c r="G6" s="19">
        <f t="shared" si="2"/>
        <v>18623</v>
      </c>
      <c r="H6" s="20">
        <f t="shared" si="2"/>
        <v>8365</v>
      </c>
    </row>
    <row r="7" spans="1:8" x14ac:dyDescent="0.2">
      <c r="A7" s="21" t="s">
        <v>18</v>
      </c>
      <c r="B7" s="22">
        <v>430</v>
      </c>
      <c r="C7" s="22">
        <f t="shared" si="1"/>
        <v>6480</v>
      </c>
      <c r="D7" s="22">
        <f t="shared" si="1"/>
        <v>2466</v>
      </c>
      <c r="E7" s="22">
        <f t="shared" si="1"/>
        <v>2181</v>
      </c>
      <c r="F7" s="22">
        <f t="shared" si="2"/>
        <v>8235</v>
      </c>
      <c r="G7" s="22">
        <f t="shared" si="2"/>
        <v>24680</v>
      </c>
      <c r="H7" s="23">
        <f t="shared" si="2"/>
        <v>11521</v>
      </c>
    </row>
    <row r="8" spans="1:8" x14ac:dyDescent="0.2">
      <c r="A8" s="24" t="s">
        <v>19</v>
      </c>
      <c r="B8" s="25">
        <v>574</v>
      </c>
      <c r="C8" s="25">
        <f t="shared" si="1"/>
        <v>8565</v>
      </c>
      <c r="D8" s="25">
        <f t="shared" si="1"/>
        <v>3288</v>
      </c>
      <c r="E8" s="25">
        <f t="shared" si="1"/>
        <v>2908</v>
      </c>
      <c r="F8" s="25">
        <f t="shared" si="2"/>
        <v>10980</v>
      </c>
      <c r="G8" s="25">
        <f t="shared" si="2"/>
        <v>30737</v>
      </c>
      <c r="H8" s="26">
        <f t="shared" si="2"/>
        <v>14677</v>
      </c>
    </row>
    <row r="9" spans="1:8" ht="13.5" thickBot="1" x14ac:dyDescent="0.25">
      <c r="A9" s="27" t="s">
        <v>20</v>
      </c>
      <c r="B9" s="28">
        <v>717</v>
      </c>
      <c r="C9" s="28">
        <f t="shared" si="1"/>
        <v>10650</v>
      </c>
      <c r="D9" s="28">
        <f t="shared" si="1"/>
        <v>4110</v>
      </c>
      <c r="E9" s="28">
        <f t="shared" si="1"/>
        <v>3635</v>
      </c>
      <c r="F9" s="28">
        <f t="shared" si="2"/>
        <v>13725</v>
      </c>
      <c r="G9" s="28">
        <f t="shared" si="2"/>
        <v>36794</v>
      </c>
      <c r="H9" s="29">
        <f t="shared" si="2"/>
        <v>17833</v>
      </c>
    </row>
    <row r="10" spans="1:8" ht="13.5" thickBot="1" x14ac:dyDescent="0.25"/>
    <row r="11" spans="1:8" ht="18.75" thickBot="1" x14ac:dyDescent="0.25">
      <c r="A11" s="30"/>
      <c r="B11" s="404" t="s">
        <v>23</v>
      </c>
      <c r="C11" s="404"/>
      <c r="D11" s="404"/>
      <c r="E11" s="404"/>
      <c r="F11" s="404"/>
      <c r="G11" s="404"/>
      <c r="H11" s="405"/>
    </row>
    <row r="12" spans="1:8" ht="13.5" thickBot="1" x14ac:dyDescent="0.25">
      <c r="A12" s="14"/>
      <c r="B12" s="2" t="s">
        <v>6</v>
      </c>
      <c r="C12" s="3" t="s">
        <v>7</v>
      </c>
      <c r="D12" s="4" t="s">
        <v>2</v>
      </c>
      <c r="E12" s="4" t="s">
        <v>8</v>
      </c>
      <c r="F12" s="4" t="s">
        <v>9</v>
      </c>
      <c r="G12" s="4" t="s">
        <v>10</v>
      </c>
      <c r="H12" s="5" t="s">
        <v>11</v>
      </c>
    </row>
    <row r="13" spans="1:8" x14ac:dyDescent="0.2">
      <c r="A13" s="14" t="s">
        <v>21</v>
      </c>
      <c r="B13" s="36">
        <v>0</v>
      </c>
      <c r="C13" s="37">
        <v>0.41</v>
      </c>
      <c r="D13" s="37">
        <v>1.4970000000000001</v>
      </c>
      <c r="E13" s="37">
        <v>4.0000000000000001E-3</v>
      </c>
      <c r="F13" s="37">
        <v>2.125</v>
      </c>
      <c r="G13" s="37">
        <v>16.161999999999999</v>
      </c>
      <c r="H13" s="37">
        <v>10.07</v>
      </c>
    </row>
    <row r="14" spans="1:8" x14ac:dyDescent="0.2">
      <c r="A14" s="14" t="s">
        <v>22</v>
      </c>
      <c r="B14" s="37"/>
      <c r="C14" s="37">
        <v>5.4390000000000001</v>
      </c>
      <c r="D14" s="37">
        <v>5.3929999999999998</v>
      </c>
      <c r="E14" s="37">
        <v>4.1509999999999998</v>
      </c>
      <c r="F14" s="37">
        <v>9.0960000000000001</v>
      </c>
      <c r="G14" s="37">
        <v>18.321000000000002</v>
      </c>
      <c r="H14" s="37">
        <v>14.068</v>
      </c>
    </row>
    <row r="15" spans="1:8" x14ac:dyDescent="0.2">
      <c r="A15" s="15" t="s">
        <v>17</v>
      </c>
      <c r="B15" s="32">
        <v>0.71299999999999997</v>
      </c>
      <c r="C15" s="32">
        <f t="shared" ref="C15:H15" si="3">C14+C13</f>
        <v>5.8490000000000002</v>
      </c>
      <c r="D15" s="32">
        <f t="shared" si="3"/>
        <v>6.89</v>
      </c>
      <c r="E15" s="32">
        <f t="shared" si="3"/>
        <v>4.1549999999999994</v>
      </c>
      <c r="F15" s="32">
        <f t="shared" si="3"/>
        <v>11.221</v>
      </c>
      <c r="G15" s="32">
        <f t="shared" si="3"/>
        <v>34.483000000000004</v>
      </c>
      <c r="H15" s="38">
        <f t="shared" si="3"/>
        <v>24.137999999999998</v>
      </c>
    </row>
    <row r="16" spans="1:8" x14ac:dyDescent="0.2">
      <c r="A16" s="18" t="s">
        <v>16</v>
      </c>
      <c r="B16" s="33">
        <v>1.4259999999999999</v>
      </c>
      <c r="C16" s="33">
        <f t="shared" ref="C16:C19" si="4">C15+C$14</f>
        <v>11.288</v>
      </c>
      <c r="D16" s="33">
        <f>D15+D$14</f>
        <v>12.282999999999999</v>
      </c>
      <c r="E16" s="33">
        <f t="shared" ref="E16:H19" si="5">E15+E$14</f>
        <v>8.3059999999999992</v>
      </c>
      <c r="F16" s="33">
        <f t="shared" si="5"/>
        <v>20.317</v>
      </c>
      <c r="G16" s="33">
        <f t="shared" si="5"/>
        <v>52.804000000000002</v>
      </c>
      <c r="H16" s="39">
        <f t="shared" si="5"/>
        <v>38.205999999999996</v>
      </c>
    </row>
    <row r="17" spans="1:8" x14ac:dyDescent="0.2">
      <c r="A17" s="21" t="s">
        <v>18</v>
      </c>
      <c r="B17" s="34">
        <v>2.1379999999999999</v>
      </c>
      <c r="C17" s="34">
        <f t="shared" si="4"/>
        <v>16.727</v>
      </c>
      <c r="D17" s="34">
        <f>D16+D$14</f>
        <v>17.675999999999998</v>
      </c>
      <c r="E17" s="34">
        <f t="shared" si="5"/>
        <v>12.456999999999999</v>
      </c>
      <c r="F17" s="34">
        <f>F16+F$14</f>
        <v>29.413</v>
      </c>
      <c r="G17" s="34">
        <f t="shared" si="5"/>
        <v>71.125</v>
      </c>
      <c r="H17" s="40">
        <f t="shared" si="5"/>
        <v>52.273999999999994</v>
      </c>
    </row>
    <row r="18" spans="1:8" x14ac:dyDescent="0.2">
      <c r="A18" s="24" t="s">
        <v>19</v>
      </c>
      <c r="B18" s="35">
        <v>2.851</v>
      </c>
      <c r="C18" s="35">
        <f t="shared" si="4"/>
        <v>22.166</v>
      </c>
      <c r="D18" s="35">
        <f>D17+D$14</f>
        <v>23.068999999999999</v>
      </c>
      <c r="E18" s="35">
        <f t="shared" si="5"/>
        <v>16.607999999999997</v>
      </c>
      <c r="F18" s="35">
        <f t="shared" si="5"/>
        <v>38.509</v>
      </c>
      <c r="G18" s="35">
        <f t="shared" si="5"/>
        <v>89.445999999999998</v>
      </c>
      <c r="H18" s="41">
        <f t="shared" si="5"/>
        <v>66.341999999999999</v>
      </c>
    </row>
    <row r="19" spans="1:8" ht="13.5" thickBot="1" x14ac:dyDescent="0.25">
      <c r="A19" s="27" t="s">
        <v>20</v>
      </c>
      <c r="B19" s="42">
        <v>3.5640000000000001</v>
      </c>
      <c r="C19" s="42">
        <f t="shared" si="4"/>
        <v>27.605</v>
      </c>
      <c r="D19" s="42">
        <f>D18+D$14</f>
        <v>28.462</v>
      </c>
      <c r="E19" s="42">
        <f t="shared" si="5"/>
        <v>20.758999999999997</v>
      </c>
      <c r="F19" s="42">
        <f t="shared" si="5"/>
        <v>47.605000000000004</v>
      </c>
      <c r="G19" s="42">
        <f t="shared" si="5"/>
        <v>107.767</v>
      </c>
      <c r="H19" s="43">
        <f t="shared" si="5"/>
        <v>80.41</v>
      </c>
    </row>
    <row r="20" spans="1:8" ht="13.5" thickBot="1" x14ac:dyDescent="0.25"/>
    <row r="21" spans="1:8" ht="18.75" thickBot="1" x14ac:dyDescent="0.25">
      <c r="A21" s="31"/>
      <c r="B21" s="406" t="s">
        <v>24</v>
      </c>
      <c r="C21" s="406"/>
      <c r="D21" s="406"/>
      <c r="E21" s="406"/>
      <c r="F21" s="406"/>
      <c r="G21" s="406"/>
      <c r="H21" s="407"/>
    </row>
    <row r="22" spans="1:8" ht="13.5" thickBot="1" x14ac:dyDescent="0.25">
      <c r="A22" s="7"/>
      <c r="B22" s="2" t="s">
        <v>6</v>
      </c>
      <c r="C22" s="3" t="s">
        <v>7</v>
      </c>
      <c r="D22" s="4" t="s">
        <v>2</v>
      </c>
      <c r="E22" s="4" t="s">
        <v>8</v>
      </c>
      <c r="F22" s="4"/>
      <c r="G22" s="4"/>
      <c r="H22" s="5"/>
    </row>
    <row r="23" spans="1:8" x14ac:dyDescent="0.2">
      <c r="A23" s="7" t="s">
        <v>21</v>
      </c>
      <c r="B23" s="36">
        <v>0</v>
      </c>
      <c r="C23" s="36">
        <v>0</v>
      </c>
      <c r="D23" s="36">
        <v>0</v>
      </c>
      <c r="E23" s="36">
        <v>0</v>
      </c>
      <c r="F23" s="36"/>
      <c r="G23" s="36"/>
      <c r="H23" s="44"/>
    </row>
    <row r="24" spans="1:8" x14ac:dyDescent="0.2">
      <c r="A24" s="7" t="s">
        <v>22</v>
      </c>
      <c r="B24" s="45">
        <f t="shared" ref="B24:C24" si="6">B29/5</f>
        <v>16.6998</v>
      </c>
      <c r="C24" s="45">
        <f t="shared" si="6"/>
        <v>15.590799999999998</v>
      </c>
      <c r="D24" s="45">
        <f>D29/5</f>
        <v>6.4290000000000003</v>
      </c>
      <c r="E24" s="45">
        <f>E29/5</f>
        <v>5.8376000000000001</v>
      </c>
      <c r="F24" s="45"/>
      <c r="G24" s="253" t="s">
        <v>256</v>
      </c>
      <c r="H24" s="46"/>
    </row>
    <row r="25" spans="1:8" x14ac:dyDescent="0.2">
      <c r="A25" s="8" t="s">
        <v>17</v>
      </c>
      <c r="B25" s="47">
        <f t="shared" ref="B25:E25" si="7">B24+B23</f>
        <v>16.6998</v>
      </c>
      <c r="C25" s="47">
        <f t="shared" si="7"/>
        <v>15.590799999999998</v>
      </c>
      <c r="D25" s="47">
        <f t="shared" si="7"/>
        <v>6.4290000000000003</v>
      </c>
      <c r="E25" s="47">
        <f t="shared" si="7"/>
        <v>5.8376000000000001</v>
      </c>
      <c r="F25" s="47"/>
      <c r="G25" s="47"/>
      <c r="H25" s="47"/>
    </row>
    <row r="26" spans="1:8" x14ac:dyDescent="0.2">
      <c r="A26" s="9" t="s">
        <v>16</v>
      </c>
      <c r="B26" s="48">
        <f t="shared" ref="B26:E28" si="8">B25+B$24</f>
        <v>33.3996</v>
      </c>
      <c r="C26" s="48">
        <f t="shared" si="8"/>
        <v>31.181599999999996</v>
      </c>
      <c r="D26" s="48">
        <f t="shared" si="8"/>
        <v>12.858000000000001</v>
      </c>
      <c r="E26" s="48">
        <f t="shared" si="8"/>
        <v>11.6752</v>
      </c>
      <c r="F26" s="48"/>
      <c r="G26" s="48"/>
      <c r="H26" s="48"/>
    </row>
    <row r="27" spans="1:8" x14ac:dyDescent="0.2">
      <c r="A27" s="10" t="s">
        <v>18</v>
      </c>
      <c r="B27" s="49">
        <f t="shared" si="8"/>
        <v>50.099400000000003</v>
      </c>
      <c r="C27" s="49">
        <f t="shared" si="8"/>
        <v>46.77239999999999</v>
      </c>
      <c r="D27" s="49">
        <f t="shared" si="8"/>
        <v>19.286999999999999</v>
      </c>
      <c r="E27" s="49">
        <f t="shared" si="8"/>
        <v>17.512799999999999</v>
      </c>
      <c r="F27" s="49"/>
      <c r="G27" s="49"/>
      <c r="H27" s="49"/>
    </row>
    <row r="28" spans="1:8" x14ac:dyDescent="0.2">
      <c r="A28" s="11" t="s">
        <v>19</v>
      </c>
      <c r="B28" s="50">
        <f t="shared" si="8"/>
        <v>66.799199999999999</v>
      </c>
      <c r="C28" s="50">
        <f t="shared" si="8"/>
        <v>62.363199999999992</v>
      </c>
      <c r="D28" s="50">
        <f t="shared" si="8"/>
        <v>25.716000000000001</v>
      </c>
      <c r="E28" s="50">
        <f t="shared" si="8"/>
        <v>23.3504</v>
      </c>
      <c r="F28" s="50"/>
      <c r="G28" s="50"/>
      <c r="H28" s="50"/>
    </row>
    <row r="29" spans="1:8" ht="13.5" thickBot="1" x14ac:dyDescent="0.25">
      <c r="A29" s="12" t="s">
        <v>20</v>
      </c>
      <c r="B29" s="51">
        <v>83.498999999999995</v>
      </c>
      <c r="C29" s="51">
        <v>77.953999999999994</v>
      </c>
      <c r="D29" s="51">
        <v>32.145000000000003</v>
      </c>
      <c r="E29" s="51">
        <v>29.187999999999999</v>
      </c>
      <c r="F29" s="51"/>
      <c r="G29" s="51"/>
      <c r="H29" s="51"/>
    </row>
  </sheetData>
  <sheetProtection algorithmName="SHA-512" hashValue="Hce0MLuh0TgoMeTt2HOy+LKKYMA9HOELZhWNuVWt1+5S3nWXPuX29esk7pMNx69uzfjM2zud313bZruKn1iiZQ==" saltValue="5RpXLc8FQX5Tqvituxcvug==" spinCount="100000" sheet="1" objects="1" scenarios="1" selectLockedCells="1"/>
  <mergeCells count="3">
    <mergeCell ref="B1:H1"/>
    <mergeCell ref="B11:H11"/>
    <mergeCell ref="B21:H21"/>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3"/>
  <dimension ref="B1:G36"/>
  <sheetViews>
    <sheetView showGridLines="0" zoomScale="85" zoomScaleNormal="85" workbookViewId="0">
      <selection activeCell="D26" sqref="D26"/>
    </sheetView>
  </sheetViews>
  <sheetFormatPr defaultColWidth="29.140625" defaultRowHeight="12.75" x14ac:dyDescent="0.2"/>
  <cols>
    <col min="1" max="1" width="10.7109375" style="147" customWidth="1"/>
    <col min="2" max="5" width="25.7109375" style="147" customWidth="1"/>
    <col min="6" max="6" width="29.140625" style="147"/>
    <col min="7" max="7" width="0" style="147" hidden="1" customWidth="1"/>
    <col min="8" max="16384" width="29.140625" style="147"/>
  </cols>
  <sheetData>
    <row r="1" spans="2:7" ht="20.100000000000001" customHeight="1" x14ac:dyDescent="0.2">
      <c r="B1" s="52"/>
      <c r="C1" s="52"/>
      <c r="D1" s="53"/>
      <c r="E1" s="53"/>
    </row>
    <row r="2" spans="2:7" ht="20.100000000000001" customHeight="1" x14ac:dyDescent="0.2">
      <c r="B2" s="55"/>
      <c r="C2" s="55"/>
      <c r="D2" s="67"/>
      <c r="E2" s="67"/>
    </row>
    <row r="3" spans="2:7" ht="20.100000000000001" customHeight="1" x14ac:dyDescent="0.2">
      <c r="B3" s="55"/>
      <c r="C3" s="55"/>
      <c r="D3" s="67"/>
      <c r="E3" s="67"/>
    </row>
    <row r="4" spans="2:7" ht="20.100000000000001" customHeight="1" x14ac:dyDescent="0.2">
      <c r="B4" s="55"/>
      <c r="C4" s="55"/>
      <c r="D4" s="67"/>
      <c r="E4" s="67"/>
    </row>
    <row r="5" spans="2:7" ht="20.100000000000001" customHeight="1" x14ac:dyDescent="0.2">
      <c r="B5" s="371" t="s">
        <v>173</v>
      </c>
      <c r="C5" s="371"/>
      <c r="D5" s="371"/>
      <c r="E5" s="105"/>
    </row>
    <row r="6" spans="2:7" ht="20.100000000000001" customHeight="1" x14ac:dyDescent="0.2">
      <c r="B6" s="371"/>
      <c r="C6" s="371"/>
      <c r="D6" s="371"/>
      <c r="E6" s="106"/>
    </row>
    <row r="7" spans="2:7" ht="20.100000000000001" customHeight="1" x14ac:dyDescent="0.2">
      <c r="B7" s="408" t="s">
        <v>172</v>
      </c>
      <c r="C7" s="408"/>
      <c r="D7" s="408"/>
      <c r="E7" s="105"/>
    </row>
    <row r="8" spans="2:7" ht="20.100000000000001" customHeight="1" x14ac:dyDescent="0.2">
      <c r="B8" s="55"/>
      <c r="C8" s="55"/>
      <c r="D8" s="67"/>
      <c r="E8" s="67"/>
    </row>
    <row r="9" spans="2:7" ht="20.100000000000001" customHeight="1" thickBot="1" x14ac:dyDescent="0.25">
      <c r="B9" s="55"/>
      <c r="C9" s="55"/>
      <c r="D9" s="67"/>
      <c r="E9" s="67"/>
    </row>
    <row r="10" spans="2:7" ht="13.5" thickBot="1" x14ac:dyDescent="0.25">
      <c r="B10" s="333" t="s">
        <v>64</v>
      </c>
      <c r="C10" s="409" t="s">
        <v>62</v>
      </c>
      <c r="D10" s="410"/>
      <c r="E10" s="148"/>
      <c r="G10" s="159" t="s">
        <v>215</v>
      </c>
    </row>
    <row r="11" spans="2:7" ht="13.5" thickBot="1" x14ac:dyDescent="0.25">
      <c r="B11" s="334"/>
      <c r="C11" s="409" t="s">
        <v>63</v>
      </c>
      <c r="D11" s="410"/>
      <c r="E11" s="148"/>
      <c r="G11" s="159" t="s">
        <v>216</v>
      </c>
    </row>
    <row r="12" spans="2:7" ht="25.5" x14ac:dyDescent="0.2">
      <c r="B12" s="334"/>
      <c r="C12" s="341" t="s">
        <v>82</v>
      </c>
      <c r="D12" s="92" t="s">
        <v>83</v>
      </c>
      <c r="E12" s="149"/>
      <c r="G12" s="159" t="s">
        <v>281</v>
      </c>
    </row>
    <row r="13" spans="2:7" ht="25.5" x14ac:dyDescent="0.2">
      <c r="B13" s="334"/>
      <c r="C13" s="342"/>
      <c r="D13" s="89" t="s">
        <v>84</v>
      </c>
      <c r="E13" s="150"/>
    </row>
    <row r="14" spans="2:7" ht="25.5" x14ac:dyDescent="0.2">
      <c r="B14" s="334"/>
      <c r="C14" s="342"/>
      <c r="D14" s="89" t="s">
        <v>85</v>
      </c>
      <c r="E14" s="150"/>
    </row>
    <row r="15" spans="2:7" ht="25.5" x14ac:dyDescent="0.2">
      <c r="B15" s="334"/>
      <c r="C15" s="342"/>
      <c r="D15" s="89" t="s">
        <v>86</v>
      </c>
      <c r="E15" s="150"/>
    </row>
    <row r="16" spans="2:7" hidden="1" x14ac:dyDescent="0.2">
      <c r="B16" s="334"/>
      <c r="C16" s="342"/>
      <c r="D16" s="89" t="s">
        <v>87</v>
      </c>
      <c r="E16" s="89">
        <f>MAX(E12:E15)</f>
        <v>0</v>
      </c>
    </row>
    <row r="17" spans="2:5" hidden="1" x14ac:dyDescent="0.2">
      <c r="B17" s="334"/>
      <c r="C17" s="342"/>
      <c r="D17" s="89" t="s">
        <v>88</v>
      </c>
      <c r="E17" s="89">
        <f>SUM(E12:E15)-E16</f>
        <v>0</v>
      </c>
    </row>
    <row r="18" spans="2:5" x14ac:dyDescent="0.2">
      <c r="B18" s="334"/>
      <c r="C18" s="342"/>
      <c r="D18" s="89" t="s">
        <v>89</v>
      </c>
      <c r="E18" s="89" t="e">
        <f>E17/E16</f>
        <v>#DIV/0!</v>
      </c>
    </row>
    <row r="19" spans="2:5" ht="26.25" thickBot="1" x14ac:dyDescent="0.25">
      <c r="B19" s="334"/>
      <c r="C19" s="343"/>
      <c r="D19" s="90" t="s">
        <v>93</v>
      </c>
      <c r="E19" s="90" t="e">
        <f>IF('Envoltória e Pré-req dos Amb'!E10="ZB1","Não se aplica",IF(E18&gt;=0.25,"Sim","Não"))</f>
        <v>#DIV/0!</v>
      </c>
    </row>
    <row r="20" spans="2:5" x14ac:dyDescent="0.2">
      <c r="B20" s="334"/>
      <c r="C20" s="411" t="s">
        <v>90</v>
      </c>
      <c r="D20" s="88" t="s">
        <v>277</v>
      </c>
      <c r="E20" s="151"/>
    </row>
    <row r="21" spans="2:5" ht="25.5" x14ac:dyDescent="0.2">
      <c r="B21" s="334"/>
      <c r="C21" s="342"/>
      <c r="D21" s="89" t="s">
        <v>91</v>
      </c>
      <c r="E21" s="150"/>
    </row>
    <row r="22" spans="2:5" ht="39" thickBot="1" x14ac:dyDescent="0.25">
      <c r="B22" s="335"/>
      <c r="C22" s="343"/>
      <c r="D22" s="90" t="s">
        <v>94</v>
      </c>
      <c r="E22" s="90" t="e">
        <f>IF(E21/E20&gt;=0.5,"Sim","Não")</f>
        <v>#DIV/0!</v>
      </c>
    </row>
    <row r="25" spans="2:5" ht="13.5" thickBot="1" x14ac:dyDescent="0.25"/>
    <row r="26" spans="2:5" ht="39" thickBot="1" x14ac:dyDescent="0.25">
      <c r="B26" s="333" t="s">
        <v>133</v>
      </c>
      <c r="C26" s="97"/>
      <c r="D26" s="132" t="s">
        <v>134</v>
      </c>
      <c r="E26" s="132" t="s">
        <v>135</v>
      </c>
    </row>
    <row r="27" spans="2:5" x14ac:dyDescent="0.2">
      <c r="B27" s="334"/>
      <c r="C27" s="339" t="s">
        <v>122</v>
      </c>
      <c r="D27" s="93" t="e">
        <f>'Envoltória e Pré-req dos Amb'!D121</f>
        <v>#DIV/0!</v>
      </c>
      <c r="E27" s="93" t="e">
        <f>IF(OR(D27="A",D27="B"),IF(E19="Não","C",D27),D27)</f>
        <v>#DIV/0!</v>
      </c>
    </row>
    <row r="28" spans="2:5" ht="13.5" thickBot="1" x14ac:dyDescent="0.25">
      <c r="B28" s="334"/>
      <c r="C28" s="340"/>
      <c r="D28" s="181" t="e">
        <f>'Envoltória e Pré-req dos Amb'!D122</f>
        <v>#DIV/0!</v>
      </c>
      <c r="E28" s="332" t="e">
        <f>IF(OR(D27="A",D27="B"),IF(E19="Não",3,D28),D28)</f>
        <v>#DIV/0!</v>
      </c>
    </row>
    <row r="29" spans="2:5" x14ac:dyDescent="0.2">
      <c r="B29" s="334"/>
      <c r="C29" s="339" t="s">
        <v>123</v>
      </c>
      <c r="D29" s="93" t="e">
        <f>'Envoltória e Pré-req dos Amb'!D123</f>
        <v>#DIV/0!</v>
      </c>
      <c r="E29" s="77" t="e">
        <f>D29</f>
        <v>#DIV/0!</v>
      </c>
    </row>
    <row r="30" spans="2:5" ht="13.5" thickBot="1" x14ac:dyDescent="0.25">
      <c r="B30" s="334"/>
      <c r="C30" s="340"/>
      <c r="D30" s="181" t="e">
        <f>'Envoltória e Pré-req dos Amb'!D124</f>
        <v>#DIV/0!</v>
      </c>
      <c r="E30" s="84" t="e">
        <f>D30</f>
        <v>#DIV/0!</v>
      </c>
    </row>
    <row r="31" spans="2:5" x14ac:dyDescent="0.2">
      <c r="B31" s="334"/>
      <c r="C31" s="339" t="s">
        <v>130</v>
      </c>
      <c r="D31" s="93" t="e">
        <f>'Envoltória e Pré-req dos Amb'!D125</f>
        <v>#DIV/0!</v>
      </c>
      <c r="E31" s="77" t="e">
        <f>D31</f>
        <v>#DIV/0!</v>
      </c>
    </row>
    <row r="32" spans="2:5" ht="13.5" thickBot="1" x14ac:dyDescent="0.25">
      <c r="B32" s="335"/>
      <c r="C32" s="340"/>
      <c r="D32" s="182" t="e">
        <f>'Envoltória e Pré-req dos Amb'!D126</f>
        <v>#DIV/0!</v>
      </c>
      <c r="E32" s="84" t="e">
        <f>D32</f>
        <v>#DIV/0!</v>
      </c>
    </row>
    <row r="33" spans="2:5" ht="13.5" thickBot="1" x14ac:dyDescent="0.25"/>
    <row r="34" spans="2:5" ht="51.75" thickBot="1" x14ac:dyDescent="0.25">
      <c r="B34" s="333" t="s">
        <v>284</v>
      </c>
      <c r="C34" s="333" t="s">
        <v>136</v>
      </c>
      <c r="D34" s="331" t="s">
        <v>285</v>
      </c>
      <c r="E34" s="331" t="s">
        <v>137</v>
      </c>
    </row>
    <row r="35" spans="2:5" x14ac:dyDescent="0.2">
      <c r="B35" s="334"/>
      <c r="C35" s="334"/>
      <c r="D35" s="93" t="e">
        <f>IF(D36="Não preenchido","Não preenchido",IF(D36&gt;=4.5,"A",IF((D36&lt;4.5)*(D36&gt;=3.5),"B",IF((D36&lt;3.5)*(D36&gt;=2.5),"C",IF((D36&lt;2.5)*(D36&gt;=1.5),"D","E")))))</f>
        <v>#DIV/0!</v>
      </c>
      <c r="E35" s="93" t="e">
        <f>IF(E36="Não preenchido","Não preenchido",IF(E36&gt;=4.495,"A",IF(AND(E36&lt;4.495,E36&gt;=3.495),"B",IF(AND(E36&lt;3.495,E36&gt;=2.495),"C",IF(AND(E36&lt;2.495,E36&gt;=1.495),"D","E")))))</f>
        <v>#DIV/0!</v>
      </c>
    </row>
    <row r="36" spans="2:5" ht="13.5" thickBot="1" x14ac:dyDescent="0.25">
      <c r="B36" s="335"/>
      <c r="C36" s="335"/>
      <c r="D36" s="180" t="e">
        <f>IF('Envoltória e Pré-req dos Amb'!$E$10="ZB1",0.08*E28+0.92*E30,IF('Envoltória e Pré-req dos Amb'!$E$10="ZB2",0.44*E28+0.56*E30,IF('Envoltória e Pré-req dos Amb'!$E$10="ZB3",0.64*E28+0.36*E30,IF('Envoltória e Pré-req dos Amb'!$E$10="ZB4",0.68*E28+0.32*E30,IF(OR('Envoltória e Pré-req dos Amb'!$E$10="ZB5",'Envoltória e Pré-req dos Amb'!$E$10="ZB6",'Envoltória e Pré-req dos Amb'!$E$10="ZB7",'Envoltória e Pré-req dos Amb'!$E$10="ZB8"),E28)))))</f>
        <v>#DIV/0!</v>
      </c>
      <c r="E36" s="180" t="e">
        <f>IF(OR(E10="Não",E11="Não"),3,IF(D35="A",IF(E22="Não",4,D36),D36))</f>
        <v>#DIV/0!</v>
      </c>
    </row>
  </sheetData>
  <sheetProtection password="DD3B" sheet="1" objects="1" scenarios="1"/>
  <mergeCells count="13">
    <mergeCell ref="B34:B36"/>
    <mergeCell ref="B7:D7"/>
    <mergeCell ref="B5:D6"/>
    <mergeCell ref="B26:B32"/>
    <mergeCell ref="C27:C28"/>
    <mergeCell ref="C29:C30"/>
    <mergeCell ref="C31:C32"/>
    <mergeCell ref="B10:B22"/>
    <mergeCell ref="C34:C36"/>
    <mergeCell ref="C10:D10"/>
    <mergeCell ref="C11:D11"/>
    <mergeCell ref="C12:C19"/>
    <mergeCell ref="C20:C22"/>
  </mergeCells>
  <conditionalFormatting sqref="E19">
    <cfRule type="containsText" dxfId="33" priority="40" operator="containsText" text="Não se aplica">
      <formula>NOT(ISERROR(SEARCH("Não se aplica",E19)))</formula>
    </cfRule>
  </conditionalFormatting>
  <conditionalFormatting sqref="D27:E27 D29:E29 D31:E31 E28">
    <cfRule type="containsText" dxfId="32" priority="35" operator="containsText" text="E">
      <formula>NOT(ISERROR(SEARCH("E",D27)))</formula>
    </cfRule>
    <cfRule type="containsText" dxfId="31" priority="36" operator="containsText" text="D">
      <formula>NOT(ISERROR(SEARCH("D",D27)))</formula>
    </cfRule>
    <cfRule type="containsText" dxfId="30" priority="37" operator="containsText" text="C">
      <formula>NOT(ISERROR(SEARCH("C",D27)))</formula>
    </cfRule>
    <cfRule type="containsText" dxfId="29" priority="38" operator="containsText" text="B">
      <formula>NOT(ISERROR(SEARCH("B",D27)))</formula>
    </cfRule>
    <cfRule type="containsText" dxfId="28" priority="39" operator="containsText" text="A">
      <formula>NOT(ISERROR(SEARCH("A",D27)))</formula>
    </cfRule>
  </conditionalFormatting>
  <conditionalFormatting sqref="E11:E33 D27:D33">
    <cfRule type="cellIs" dxfId="27" priority="19" operator="equal">
      <formula>"Não se aplica"</formula>
    </cfRule>
  </conditionalFormatting>
  <conditionalFormatting sqref="E22 D27:E32 E18:E19">
    <cfRule type="containsErrors" dxfId="26" priority="18">
      <formula>ISERROR(D18)</formula>
    </cfRule>
  </conditionalFormatting>
  <conditionalFormatting sqref="D35:E36">
    <cfRule type="cellIs" dxfId="25" priority="1" operator="equal">
      <formula>"Não preenchido"</formula>
    </cfRule>
  </conditionalFormatting>
  <conditionalFormatting sqref="D35 E35:E36">
    <cfRule type="containsText" dxfId="24" priority="4" operator="containsText" text="E">
      <formula>NOT(ISERROR(SEARCH("E",D35)))</formula>
    </cfRule>
    <cfRule type="containsText" dxfId="23" priority="5" operator="containsText" text="D">
      <formula>NOT(ISERROR(SEARCH("D",D35)))</formula>
    </cfRule>
    <cfRule type="containsText" dxfId="22" priority="6" operator="containsText" text="C">
      <formula>NOT(ISERROR(SEARCH("C",D35)))</formula>
    </cfRule>
    <cfRule type="containsText" dxfId="21" priority="7" operator="containsText" text="B">
      <formula>NOT(ISERROR(SEARCH("B",D35)))</formula>
    </cfRule>
    <cfRule type="containsText" dxfId="20" priority="8" operator="containsText" text="A">
      <formula>NOT(ISERROR(SEARCH("A",D35)))</formula>
    </cfRule>
  </conditionalFormatting>
  <conditionalFormatting sqref="D34:E36">
    <cfRule type="cellIs" dxfId="19" priority="3" operator="equal">
      <formula>"Não se aplica"</formula>
    </cfRule>
  </conditionalFormatting>
  <conditionalFormatting sqref="D35:E36">
    <cfRule type="containsErrors" dxfId="18" priority="2">
      <formula>ISERROR(D35)</formula>
    </cfRule>
  </conditionalFormatting>
  <dataValidations count="1">
    <dataValidation type="list" allowBlank="1" showInputMessage="1" showErrorMessage="1" sqref="E10:E11">
      <formula1>$G$10:$G$12</formula1>
    </dataValidation>
  </dataValidations>
  <pageMargins left="0.511811024" right="0.511811024" top="0.78740157499999996" bottom="0.78740157499999996" header="0.31496062000000002" footer="0.31496062000000002"/>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4"/>
  <dimension ref="A1:N51"/>
  <sheetViews>
    <sheetView showGridLines="0" zoomScale="85" zoomScaleNormal="85" workbookViewId="0">
      <selection activeCell="E13" sqref="E13"/>
    </sheetView>
  </sheetViews>
  <sheetFormatPr defaultRowHeight="12.75" x14ac:dyDescent="0.2"/>
  <cols>
    <col min="1" max="1" width="10.7109375" style="99" customWidth="1"/>
    <col min="2" max="5" width="25.7109375" style="99" customWidth="1"/>
    <col min="6" max="16384" width="9.140625" style="99"/>
  </cols>
  <sheetData>
    <row r="1" spans="2:5" ht="20.100000000000001" customHeight="1" x14ac:dyDescent="0.2">
      <c r="B1" s="52"/>
      <c r="C1" s="52"/>
      <c r="D1" s="53"/>
      <c r="E1" s="53"/>
    </row>
    <row r="2" spans="2:5" ht="20.100000000000001" customHeight="1" x14ac:dyDescent="0.2">
      <c r="B2" s="55"/>
      <c r="C2" s="55"/>
      <c r="D2" s="67"/>
      <c r="E2" s="67"/>
    </row>
    <row r="3" spans="2:5" ht="20.100000000000001" customHeight="1" x14ac:dyDescent="0.2">
      <c r="B3" s="55"/>
      <c r="C3" s="55"/>
      <c r="D3" s="67"/>
      <c r="E3" s="67"/>
    </row>
    <row r="4" spans="2:5" ht="20.100000000000001" customHeight="1" x14ac:dyDescent="0.2">
      <c r="B4" s="55"/>
      <c r="C4" s="55"/>
      <c r="D4" s="67"/>
      <c r="E4" s="67"/>
    </row>
    <row r="5" spans="2:5" ht="20.100000000000001" customHeight="1" x14ac:dyDescent="0.2">
      <c r="B5" s="55"/>
      <c r="C5" s="134"/>
      <c r="D5" s="134"/>
      <c r="E5" s="134"/>
    </row>
    <row r="6" spans="2:5" ht="20.100000000000001" customHeight="1" x14ac:dyDescent="0.2">
      <c r="B6" s="371" t="s">
        <v>174</v>
      </c>
      <c r="C6" s="371"/>
      <c r="D6" s="371"/>
      <c r="E6" s="134"/>
    </row>
    <row r="7" spans="2:5" ht="20.100000000000001" customHeight="1" x14ac:dyDescent="0.2">
      <c r="B7" s="371" t="s">
        <v>172</v>
      </c>
      <c r="C7" s="371"/>
      <c r="D7" s="371"/>
      <c r="E7" s="134"/>
    </row>
    <row r="8" spans="2:5" ht="20.100000000000001" customHeight="1" x14ac:dyDescent="0.2">
      <c r="B8" s="55"/>
      <c r="C8" s="55"/>
      <c r="D8" s="67"/>
      <c r="E8" s="67"/>
    </row>
    <row r="9" spans="2:5" ht="20.100000000000001" customHeight="1" thickBot="1" x14ac:dyDescent="0.25">
      <c r="B9" s="55"/>
      <c r="C9" s="55"/>
      <c r="D9" s="67"/>
      <c r="E9" s="67"/>
    </row>
    <row r="10" spans="2:5" ht="13.5" thickBot="1" x14ac:dyDescent="0.25">
      <c r="B10" s="363" t="s">
        <v>116</v>
      </c>
      <c r="C10" s="364"/>
      <c r="D10" s="364"/>
      <c r="E10" s="121"/>
    </row>
    <row r="11" spans="2:5" x14ac:dyDescent="0.2">
      <c r="B11" s="333" t="s">
        <v>189</v>
      </c>
      <c r="C11" s="341" t="s">
        <v>95</v>
      </c>
      <c r="D11" s="77" t="s">
        <v>103</v>
      </c>
      <c r="E11" s="269">
        <f>'Pré-requisitos da UH'!E12</f>
        <v>0</v>
      </c>
    </row>
    <row r="12" spans="2:5" x14ac:dyDescent="0.2">
      <c r="B12" s="334"/>
      <c r="C12" s="342"/>
      <c r="D12" s="80" t="s">
        <v>96</v>
      </c>
      <c r="E12" s="80">
        <f>'Pré-requisitos da UH'!E13</f>
        <v>0</v>
      </c>
    </row>
    <row r="13" spans="2:5" x14ac:dyDescent="0.2">
      <c r="B13" s="334"/>
      <c r="C13" s="342"/>
      <c r="D13" s="80" t="s">
        <v>97</v>
      </c>
      <c r="E13" s="80">
        <f>'Pré-requisitos da UH'!E14</f>
        <v>0</v>
      </c>
    </row>
    <row r="14" spans="2:5" x14ac:dyDescent="0.2">
      <c r="B14" s="334"/>
      <c r="C14" s="342"/>
      <c r="D14" s="80" t="s">
        <v>98</v>
      </c>
      <c r="E14" s="80">
        <f>'Pré-requisitos da UH'!E15</f>
        <v>0</v>
      </c>
    </row>
    <row r="15" spans="2:5" x14ac:dyDescent="0.2">
      <c r="B15" s="334"/>
      <c r="C15" s="342"/>
      <c r="D15" s="80" t="s">
        <v>99</v>
      </c>
      <c r="E15" s="131"/>
    </row>
    <row r="16" spans="2:5" x14ac:dyDescent="0.2">
      <c r="B16" s="334"/>
      <c r="C16" s="342"/>
      <c r="D16" s="80" t="s">
        <v>100</v>
      </c>
      <c r="E16" s="150"/>
    </row>
    <row r="17" spans="2:5" x14ac:dyDescent="0.2">
      <c r="B17" s="334"/>
      <c r="C17" s="342"/>
      <c r="D17" s="80" t="s">
        <v>101</v>
      </c>
      <c r="E17" s="150"/>
    </row>
    <row r="18" spans="2:5" x14ac:dyDescent="0.2">
      <c r="B18" s="334"/>
      <c r="C18" s="342"/>
      <c r="D18" s="80" t="s">
        <v>102</v>
      </c>
      <c r="E18" s="150"/>
    </row>
    <row r="19" spans="2:5" x14ac:dyDescent="0.2">
      <c r="B19" s="334"/>
      <c r="C19" s="342"/>
      <c r="D19" s="80" t="s">
        <v>112</v>
      </c>
      <c r="E19" s="150"/>
    </row>
    <row r="20" spans="2:5" x14ac:dyDescent="0.2">
      <c r="B20" s="334"/>
      <c r="C20" s="342"/>
      <c r="D20" s="80" t="s">
        <v>108</v>
      </c>
      <c r="E20" s="95">
        <f>0.2*IF(E19=3,0.8,IF(E19="4 ou 5",0.7,IF(E19="6, 7 ou 8",0.6,IF(E19="9 ou mais",0.5,1))))</f>
        <v>0.2</v>
      </c>
    </row>
    <row r="21" spans="2:5" x14ac:dyDescent="0.2">
      <c r="B21" s="334"/>
      <c r="C21" s="342"/>
      <c r="D21" s="80" t="s">
        <v>104</v>
      </c>
      <c r="E21" s="95">
        <f>IF(OR(E11=0,E15=0),0,E11/E15)</f>
        <v>0</v>
      </c>
    </row>
    <row r="22" spans="2:5" x14ac:dyDescent="0.2">
      <c r="B22" s="334"/>
      <c r="C22" s="342"/>
      <c r="D22" s="80" t="s">
        <v>105</v>
      </c>
      <c r="E22" s="95">
        <f t="shared" ref="E22:E24" si="0">IF(OR(E12=0,E16=0),0,E12/E16)</f>
        <v>0</v>
      </c>
    </row>
    <row r="23" spans="2:5" x14ac:dyDescent="0.2">
      <c r="B23" s="334"/>
      <c r="C23" s="342"/>
      <c r="D23" s="80" t="s">
        <v>106</v>
      </c>
      <c r="E23" s="95">
        <f t="shared" si="0"/>
        <v>0</v>
      </c>
    </row>
    <row r="24" spans="2:5" x14ac:dyDescent="0.2">
      <c r="B24" s="334"/>
      <c r="C24" s="342"/>
      <c r="D24" s="80" t="s">
        <v>107</v>
      </c>
      <c r="E24" s="95">
        <f t="shared" si="0"/>
        <v>0</v>
      </c>
    </row>
    <row r="25" spans="2:5" ht="25.5" x14ac:dyDescent="0.2">
      <c r="B25" s="334"/>
      <c r="C25" s="342"/>
      <c r="D25" s="80" t="s">
        <v>109</v>
      </c>
      <c r="E25" s="89" t="str">
        <f>IF(OR(AND(E21&gt;=E20,E22&gt;=E20),AND(E21&gt;=E20,E23&gt;=E20),AND(E21&gt;=E20,E24&gt;=E20),AND(E22&gt;=E20,E23&gt;=E20),AND(E22&gt;=E20,E24&gt;=E20),AND(E23&gt;=E20,E24&gt;=E20)),"Sim","Não")</f>
        <v>Não</v>
      </c>
    </row>
    <row r="26" spans="2:5" ht="13.5" thickBot="1" x14ac:dyDescent="0.25">
      <c r="B26" s="334"/>
      <c r="C26" s="343"/>
      <c r="D26" s="78" t="s">
        <v>110</v>
      </c>
      <c r="E26" s="90">
        <f>IF(E25="Sim",0.12,0)</f>
        <v>0</v>
      </c>
    </row>
    <row r="27" spans="2:5" ht="25.5" x14ac:dyDescent="0.2">
      <c r="B27" s="334"/>
      <c r="C27" s="341" t="s">
        <v>111</v>
      </c>
      <c r="D27" s="77" t="s">
        <v>113</v>
      </c>
      <c r="E27" s="149"/>
    </row>
    <row r="28" spans="2:5" x14ac:dyDescent="0.2">
      <c r="B28" s="334"/>
      <c r="C28" s="342"/>
      <c r="D28" s="80" t="s">
        <v>164</v>
      </c>
      <c r="E28" s="150"/>
    </row>
    <row r="29" spans="2:5" ht="13.5" thickBot="1" x14ac:dyDescent="0.25">
      <c r="B29" s="334"/>
      <c r="C29" s="343"/>
      <c r="D29" s="78" t="s">
        <v>110</v>
      </c>
      <c r="E29" s="90">
        <f>IF(AND(E27="Sim",E28&lt;&gt;""),0.16,0)</f>
        <v>0</v>
      </c>
    </row>
    <row r="30" spans="2:5" ht="51" x14ac:dyDescent="0.2">
      <c r="B30" s="334"/>
      <c r="C30" s="341" t="s">
        <v>114</v>
      </c>
      <c r="D30" s="77" t="s">
        <v>115</v>
      </c>
      <c r="E30" s="149"/>
    </row>
    <row r="31" spans="2:5" ht="13.5" thickBot="1" x14ac:dyDescent="0.25">
      <c r="B31" s="334"/>
      <c r="C31" s="343"/>
      <c r="D31" s="78" t="s">
        <v>110</v>
      </c>
      <c r="E31" s="90">
        <f>IF(E30="Sim",0.06,0)</f>
        <v>0</v>
      </c>
    </row>
    <row r="32" spans="2:5" ht="51" x14ac:dyDescent="0.2">
      <c r="B32" s="334"/>
      <c r="C32" s="334" t="s">
        <v>117</v>
      </c>
      <c r="D32" s="94" t="s">
        <v>118</v>
      </c>
      <c r="E32" s="151"/>
    </row>
    <row r="33" spans="1:14" ht="13.5" thickBot="1" x14ac:dyDescent="0.25">
      <c r="B33" s="335"/>
      <c r="C33" s="335"/>
      <c r="D33" s="78" t="s">
        <v>110</v>
      </c>
      <c r="E33" s="90">
        <f>IF('Envoltória e Pré-req dos Amb'!E10="ZB8",IF(E32="Sim",0.06,0),0)</f>
        <v>0</v>
      </c>
    </row>
    <row r="34" spans="1:14" ht="39" thickBot="1" x14ac:dyDescent="0.25">
      <c r="A34" s="98"/>
      <c r="B34" s="333" t="s">
        <v>190</v>
      </c>
      <c r="C34" s="333" t="s">
        <v>119</v>
      </c>
      <c r="D34" s="158" t="s">
        <v>249</v>
      </c>
      <c r="E34" s="129"/>
    </row>
    <row r="35" spans="1:14" ht="13.5" thickBot="1" x14ac:dyDescent="0.25">
      <c r="B35" s="334"/>
      <c r="C35" s="335"/>
      <c r="D35" s="78" t="s">
        <v>110</v>
      </c>
      <c r="E35" s="77">
        <f>IF(E34="Sim",0.2,0)</f>
        <v>0</v>
      </c>
    </row>
    <row r="36" spans="1:14" ht="51.75" thickBot="1" x14ac:dyDescent="0.25">
      <c r="B36" s="334"/>
      <c r="C36" s="333" t="s">
        <v>120</v>
      </c>
      <c r="D36" s="156" t="s">
        <v>121</v>
      </c>
      <c r="E36" s="129"/>
    </row>
    <row r="37" spans="1:14" ht="13.5" thickBot="1" x14ac:dyDescent="0.25">
      <c r="B37" s="335"/>
      <c r="C37" s="334"/>
      <c r="D37" s="117" t="s">
        <v>110</v>
      </c>
      <c r="E37" s="79">
        <f>IF(E36="Sim",0.1,0)</f>
        <v>0</v>
      </c>
    </row>
    <row r="38" spans="1:14" ht="26.25" thickBot="1" x14ac:dyDescent="0.25">
      <c r="B38" s="412" t="s">
        <v>191</v>
      </c>
      <c r="C38" s="127" t="s">
        <v>187</v>
      </c>
      <c r="D38" s="123" t="s">
        <v>179</v>
      </c>
      <c r="E38" s="152"/>
    </row>
    <row r="39" spans="1:14" ht="39" thickBot="1" x14ac:dyDescent="0.25">
      <c r="B39" s="413"/>
      <c r="C39" s="127" t="s">
        <v>188</v>
      </c>
      <c r="D39" s="123" t="s">
        <v>193</v>
      </c>
      <c r="E39" s="153"/>
    </row>
    <row r="40" spans="1:14" ht="72.75" customHeight="1" x14ac:dyDescent="0.2">
      <c r="B40" s="413"/>
      <c r="C40" s="412" t="s">
        <v>183</v>
      </c>
      <c r="D40" s="136" t="s">
        <v>180</v>
      </c>
      <c r="E40" s="129"/>
    </row>
    <row r="41" spans="1:14" ht="25.5" hidden="1" customHeight="1" x14ac:dyDescent="0.2">
      <c r="B41" s="413"/>
      <c r="C41" s="413"/>
      <c r="D41" s="124"/>
      <c r="E41" s="124"/>
      <c r="F41" s="122" t="s">
        <v>181</v>
      </c>
      <c r="G41" s="122" t="s">
        <v>182</v>
      </c>
      <c r="H41" s="125">
        <v>1</v>
      </c>
      <c r="J41" s="98" t="s">
        <v>165</v>
      </c>
      <c r="K41" s="99">
        <v>3</v>
      </c>
      <c r="L41" s="98" t="s">
        <v>166</v>
      </c>
      <c r="M41" s="98" t="s">
        <v>167</v>
      </c>
      <c r="N41" s="98" t="s">
        <v>168</v>
      </c>
    </row>
    <row r="42" spans="1:14" ht="13.5" thickBot="1" x14ac:dyDescent="0.25">
      <c r="B42" s="413"/>
      <c r="C42" s="414"/>
      <c r="D42" s="137" t="s">
        <v>110</v>
      </c>
      <c r="E42" s="135">
        <f>IF(E40=H41,0.1,IF(E40=G41,0.05,0))</f>
        <v>0</v>
      </c>
    </row>
    <row r="43" spans="1:14" ht="39" customHeight="1" x14ac:dyDescent="0.2">
      <c r="B43" s="413"/>
      <c r="C43" s="399" t="s">
        <v>192</v>
      </c>
      <c r="D43" s="136" t="s">
        <v>184</v>
      </c>
      <c r="E43" s="154"/>
    </row>
    <row r="44" spans="1:14" ht="13.5" thickBot="1" x14ac:dyDescent="0.25">
      <c r="B44" s="413"/>
      <c r="C44" s="401"/>
      <c r="D44" s="137" t="s">
        <v>110</v>
      </c>
      <c r="E44" s="135">
        <f>IF('Envoltória e Pré-req dos Amb'!E10="ZB1",0,IF(E43="Sim",0.1,0))</f>
        <v>0</v>
      </c>
    </row>
    <row r="45" spans="1:14" ht="38.25" x14ac:dyDescent="0.2">
      <c r="B45" s="413"/>
      <c r="C45" s="412" t="s">
        <v>185</v>
      </c>
      <c r="D45" s="136" t="s">
        <v>186</v>
      </c>
      <c r="E45" s="154"/>
    </row>
    <row r="46" spans="1:14" ht="51" x14ac:dyDescent="0.2">
      <c r="B46" s="413"/>
      <c r="C46" s="413"/>
      <c r="D46" s="189" t="s">
        <v>210</v>
      </c>
      <c r="E46" s="190"/>
    </row>
    <row r="47" spans="1:14" ht="13.5" thickBot="1" x14ac:dyDescent="0.25">
      <c r="B47" s="413"/>
      <c r="C47" s="414"/>
      <c r="D47" s="137" t="s">
        <v>110</v>
      </c>
      <c r="E47" s="135">
        <f>IF(E45="Sim",IF(E46="Sim",0.1,0),0)</f>
        <v>0</v>
      </c>
    </row>
    <row r="48" spans="1:14" ht="38.25" x14ac:dyDescent="0.2">
      <c r="B48" s="413"/>
      <c r="C48" s="399" t="s">
        <v>194</v>
      </c>
      <c r="D48" s="268" t="s">
        <v>259</v>
      </c>
      <c r="E48" s="154"/>
    </row>
    <row r="49" spans="2:5" ht="13.5" thickBot="1" x14ac:dyDescent="0.25">
      <c r="B49" s="414"/>
      <c r="C49" s="401"/>
      <c r="D49" s="137" t="s">
        <v>110</v>
      </c>
      <c r="E49" s="135">
        <f>IF(E48="Sim",0.1,0)</f>
        <v>0</v>
      </c>
    </row>
    <row r="50" spans="2:5" ht="13.5" thickBot="1" x14ac:dyDescent="0.25"/>
    <row r="51" spans="2:5" ht="13.5" thickBot="1" x14ac:dyDescent="0.25">
      <c r="D51" s="126" t="s">
        <v>138</v>
      </c>
      <c r="E51" s="100">
        <f>E26+E29+E31+E33+E35+E37+E38+E39+E42+E44+E47+E49</f>
        <v>0</v>
      </c>
    </row>
  </sheetData>
  <sheetProtection password="DCFB" sheet="1" objects="1" scenarios="1"/>
  <mergeCells count="16">
    <mergeCell ref="C43:C44"/>
    <mergeCell ref="C48:C49"/>
    <mergeCell ref="C40:C42"/>
    <mergeCell ref="B6:D6"/>
    <mergeCell ref="B7:D7"/>
    <mergeCell ref="C36:C37"/>
    <mergeCell ref="B34:B37"/>
    <mergeCell ref="C34:C35"/>
    <mergeCell ref="B10:D10"/>
    <mergeCell ref="B11:B33"/>
    <mergeCell ref="C11:C26"/>
    <mergeCell ref="C27:C29"/>
    <mergeCell ref="C30:C31"/>
    <mergeCell ref="C32:C33"/>
    <mergeCell ref="B38:B49"/>
    <mergeCell ref="C45:C47"/>
  </mergeCells>
  <dataValidations disablePrompts="1" count="6">
    <dataValidation type="list" allowBlank="1" showInputMessage="1" showErrorMessage="1" sqref="E48 E45:E46 E36 E34 E32 E30 E27">
      <formula1>"Sim,Não"</formula1>
    </dataValidation>
    <dataValidation type="list" showInputMessage="1" showErrorMessage="1" sqref="E19">
      <formula1>$J$41:$N$41</formula1>
    </dataValidation>
    <dataValidation type="list" allowBlank="1" showInputMessage="1" showErrorMessage="1" prompt="Caso a porcentagem não seja a mesma para todos os ambientes, deve-se assumir a menor delas." sqref="E40">
      <formula1>$F$41:$H$41</formula1>
    </dataValidation>
    <dataValidation type="decimal" allowBlank="1" showInputMessage="1" showErrorMessage="1" sqref="E38">
      <formula1>0</formula1>
      <formula2>0.2</formula2>
    </dataValidation>
    <dataValidation type="decimal" allowBlank="1" showInputMessage="1" showErrorMessage="1" error="O valor inserido não é válido para os cálculos._x000a__x000a_O intervalor possível para o valor desta variável é de 0 a 0,2." prompt="A bonificação varia de 0 a 0,20 pontos. É atribuída proporcionalmente ao número de ambientes de permanência prolongada. O valor deve ser calculado manualmente." sqref="E39">
      <formula1>0</formula1>
      <formula2>0.2</formula2>
    </dataValidation>
    <dataValidation type="list" allowBlank="1" showInputMessage="1" showErrorMessage="1" prompt="Não aplicável para Zona Bioclimática 1." sqref="E43">
      <formula1>"Sim,Não"</formula1>
    </dataValidation>
  </dataValidations>
  <pageMargins left="0.511811024" right="0.511811024" top="0.78740157499999996" bottom="0.78740157499999996" header="0.31496062000000002" footer="0.31496062000000002"/>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6"/>
  <dimension ref="A1:F70"/>
  <sheetViews>
    <sheetView showGridLines="0" zoomScale="85" zoomScaleNormal="85" workbookViewId="0">
      <selection activeCell="D10" sqref="D10"/>
    </sheetView>
  </sheetViews>
  <sheetFormatPr defaultRowHeight="12.75" x14ac:dyDescent="0.2"/>
  <cols>
    <col min="1" max="1" width="10.7109375" style="67" customWidth="1"/>
    <col min="2" max="5" width="25.7109375" style="67" customWidth="1"/>
    <col min="6" max="6" width="34.42578125" style="67" customWidth="1"/>
    <col min="7" max="16384" width="9.140625" style="67"/>
  </cols>
  <sheetData>
    <row r="1" spans="2:5" ht="20.100000000000001" customHeight="1" x14ac:dyDescent="0.2">
      <c r="B1" s="53"/>
      <c r="C1" s="53"/>
      <c r="D1" s="53"/>
      <c r="E1" s="53"/>
    </row>
    <row r="2" spans="2:5" ht="20.100000000000001" customHeight="1" x14ac:dyDescent="0.2"/>
    <row r="3" spans="2:5" ht="20.100000000000001" customHeight="1" x14ac:dyDescent="0.2"/>
    <row r="4" spans="2:5" ht="20.100000000000001" customHeight="1" x14ac:dyDescent="0.2"/>
    <row r="5" spans="2:5" ht="20.100000000000001" customHeight="1" x14ac:dyDescent="0.2">
      <c r="C5" s="130"/>
      <c r="D5" s="130"/>
      <c r="E5" s="130"/>
    </row>
    <row r="6" spans="2:5" ht="20.100000000000001" customHeight="1" x14ac:dyDescent="0.2">
      <c r="B6" s="371" t="s">
        <v>175</v>
      </c>
      <c r="C6" s="371"/>
      <c r="D6" s="371"/>
      <c r="E6" s="130"/>
    </row>
    <row r="7" spans="2:5" ht="20.100000000000001" customHeight="1" x14ac:dyDescent="0.2">
      <c r="B7" s="371" t="s">
        <v>172</v>
      </c>
      <c r="C7" s="371"/>
      <c r="D7" s="371"/>
      <c r="E7" s="130"/>
    </row>
    <row r="8" spans="2:5" ht="20.100000000000001" customHeight="1" x14ac:dyDescent="0.2"/>
    <row r="9" spans="2:5" ht="20.100000000000001" customHeight="1" thickBot="1" x14ac:dyDescent="0.25"/>
    <row r="10" spans="2:5" ht="79.5" customHeight="1" x14ac:dyDescent="0.2">
      <c r="B10" s="333" t="s">
        <v>161</v>
      </c>
      <c r="C10" s="77" t="s">
        <v>195</v>
      </c>
      <c r="D10" s="140"/>
    </row>
    <row r="11" spans="2:5" ht="38.25" x14ac:dyDescent="0.2">
      <c r="B11" s="334"/>
      <c r="C11" s="94" t="s">
        <v>152</v>
      </c>
      <c r="D11" s="160"/>
    </row>
    <row r="12" spans="2:5" ht="25.5" x14ac:dyDescent="0.2">
      <c r="B12" s="334"/>
      <c r="C12" s="80" t="s">
        <v>153</v>
      </c>
      <c r="D12" s="131"/>
    </row>
    <row r="13" spans="2:5" ht="25.5" x14ac:dyDescent="0.2">
      <c r="B13" s="334"/>
      <c r="C13" s="80" t="s">
        <v>146</v>
      </c>
      <c r="D13" s="131"/>
    </row>
    <row r="14" spans="2:5" ht="51" x14ac:dyDescent="0.2">
      <c r="B14" s="334"/>
      <c r="C14" s="80" t="s">
        <v>199</v>
      </c>
      <c r="D14" s="131"/>
    </row>
    <row r="15" spans="2:5" x14ac:dyDescent="0.2">
      <c r="B15" s="334"/>
      <c r="C15" s="80" t="s">
        <v>77</v>
      </c>
      <c r="D15" s="101" t="str">
        <f>IF(D13="Sim",IF(D14="Sim","Sim","Não"),"Sim")</f>
        <v>Sim</v>
      </c>
    </row>
    <row r="16" spans="2:5" ht="25.5" x14ac:dyDescent="0.2">
      <c r="B16" s="334"/>
      <c r="C16" s="80" t="s">
        <v>147</v>
      </c>
      <c r="D16" s="131"/>
    </row>
    <row r="17" spans="2:4" ht="38.25" x14ac:dyDescent="0.2">
      <c r="B17" s="334"/>
      <c r="C17" s="80" t="s">
        <v>148</v>
      </c>
      <c r="D17" s="131"/>
    </row>
    <row r="18" spans="2:4" ht="25.5" x14ac:dyDescent="0.2">
      <c r="B18" s="334"/>
      <c r="C18" s="80" t="s">
        <v>150</v>
      </c>
      <c r="D18" s="131"/>
    </row>
    <row r="19" spans="2:4" ht="25.5" x14ac:dyDescent="0.2">
      <c r="B19" s="334"/>
      <c r="C19" s="80" t="s">
        <v>149</v>
      </c>
      <c r="D19" s="131"/>
    </row>
    <row r="20" spans="2:4" ht="51" x14ac:dyDescent="0.2">
      <c r="B20" s="334"/>
      <c r="C20" s="80" t="s">
        <v>151</v>
      </c>
      <c r="D20" s="131"/>
    </row>
    <row r="21" spans="2:4" ht="13.5" thickBot="1" x14ac:dyDescent="0.25">
      <c r="B21" s="334"/>
      <c r="C21" s="78" t="s">
        <v>77</v>
      </c>
      <c r="D21" s="78" t="e">
        <f>IF(D16="Não",IF(D19&gt;=1,"Sim","Não"),IF(D17="Sim",IF(D18&lt;4,IF(D19&lt;1,"Não","Sim"),IF(D19&lt;2.5,"Não","Sim")),IF(((D18/2)*((1+(1/(D18/2))^(D20/0.04))-1))&lt;=D19,"Sim","Não")))</f>
        <v>#DIV/0!</v>
      </c>
    </row>
    <row r="22" spans="2:4" ht="39" thickBot="1" x14ac:dyDescent="0.25">
      <c r="B22" s="335"/>
      <c r="C22" s="133" t="s">
        <v>207</v>
      </c>
      <c r="D22" s="128" t="e">
        <f>IF(OR(D15="Não",D10="Não"),"E",IF(D11="Não",IF(D12="Não","E","D"),IF(D21="Sim","A","C")))</f>
        <v>#DIV/0!</v>
      </c>
    </row>
    <row r="23" spans="2:4" ht="13.5" thickBot="1" x14ac:dyDescent="0.25">
      <c r="B23" s="155"/>
    </row>
    <row r="24" spans="2:4" ht="63.75" x14ac:dyDescent="0.2">
      <c r="B24" s="333" t="s">
        <v>154</v>
      </c>
      <c r="C24" s="77" t="s">
        <v>155</v>
      </c>
      <c r="D24" s="129"/>
    </row>
    <row r="25" spans="2:4" ht="38.25" x14ac:dyDescent="0.2">
      <c r="B25" s="334"/>
      <c r="C25" s="80" t="s">
        <v>201</v>
      </c>
      <c r="D25" s="131"/>
    </row>
    <row r="26" spans="2:4" ht="25.5" x14ac:dyDescent="0.2">
      <c r="B26" s="334"/>
      <c r="C26" s="117" t="s">
        <v>200</v>
      </c>
      <c r="D26" s="161"/>
    </row>
    <row r="27" spans="2:4" ht="25.5" x14ac:dyDescent="0.2">
      <c r="B27" s="334"/>
      <c r="C27" s="117" t="s">
        <v>206</v>
      </c>
      <c r="D27" s="183" t="e">
        <f>D25/D26</f>
        <v>#DIV/0!</v>
      </c>
    </row>
    <row r="28" spans="2:4" ht="63.75" x14ac:dyDescent="0.2">
      <c r="B28" s="334"/>
      <c r="C28" s="117" t="s">
        <v>177</v>
      </c>
      <c r="D28" s="161"/>
    </row>
    <row r="29" spans="2:4" ht="13.5" thickBot="1" x14ac:dyDescent="0.25">
      <c r="B29" s="334"/>
      <c r="C29" s="117" t="s">
        <v>196</v>
      </c>
      <c r="D29" s="161"/>
    </row>
    <row r="30" spans="2:4" hidden="1" x14ac:dyDescent="0.2">
      <c r="B30" s="334"/>
      <c r="C30" s="80" t="s">
        <v>156</v>
      </c>
      <c r="D30" s="80" t="str">
        <f>IF(D28=C70,"A",IF(D28=D70,"B",IF(D28=E70,"C",IF(D28=F70,"D",""))))</f>
        <v/>
      </c>
    </row>
    <row r="31" spans="2:4" ht="13.5" hidden="1" thickBot="1" x14ac:dyDescent="0.25">
      <c r="B31" s="334"/>
      <c r="C31" s="78" t="s">
        <v>157</v>
      </c>
      <c r="D31" s="78" t="str">
        <f>IF(D24="Não",IF(OR(D30="A",D30="B",D30="C"),"C","D"),D30)</f>
        <v/>
      </c>
    </row>
    <row r="32" spans="2:4" x14ac:dyDescent="0.2">
      <c r="B32" s="334"/>
      <c r="C32" s="339" t="s">
        <v>141</v>
      </c>
      <c r="D32" s="77" t="e">
        <f>IF(OR(AND(D27&gt;=40,D27&lt;50),D27&gt;150),"D",IF(D27&lt;40,"E",D31))</f>
        <v>#DIV/0!</v>
      </c>
    </row>
    <row r="33" spans="2:4" ht="13.5" thickBot="1" x14ac:dyDescent="0.25">
      <c r="B33" s="335"/>
      <c r="C33" s="340"/>
      <c r="D33" s="78" t="e">
        <f>IF(D32="A",5,IF(D32="B",4,IF(D32="C",3,IF(D32="D",2,IF(D32="E",1,"")))))</f>
        <v>#DIV/0!</v>
      </c>
    </row>
    <row r="34" spans="2:4" ht="13.5" thickBot="1" x14ac:dyDescent="0.25">
      <c r="B34" s="155"/>
    </row>
    <row r="35" spans="2:4" ht="63.75" x14ac:dyDescent="0.2">
      <c r="B35" s="333" t="s">
        <v>158</v>
      </c>
      <c r="C35" s="79" t="s">
        <v>159</v>
      </c>
      <c r="D35" s="162"/>
    </row>
    <row r="36" spans="2:4" ht="52.5" customHeight="1" x14ac:dyDescent="0.2">
      <c r="B36" s="334"/>
      <c r="C36" s="80" t="s">
        <v>260</v>
      </c>
      <c r="D36" s="131"/>
    </row>
    <row r="37" spans="2:4" ht="13.5" thickBot="1" x14ac:dyDescent="0.25">
      <c r="B37" s="334"/>
      <c r="C37" s="78" t="s">
        <v>196</v>
      </c>
      <c r="D37" s="163"/>
    </row>
    <row r="38" spans="2:4" x14ac:dyDescent="0.2">
      <c r="B38" s="334"/>
      <c r="C38" s="416" t="s">
        <v>141</v>
      </c>
      <c r="D38" s="145"/>
    </row>
    <row r="39" spans="2:4" ht="13.5" thickBot="1" x14ac:dyDescent="0.25">
      <c r="B39" s="335"/>
      <c r="C39" s="417"/>
      <c r="D39" s="78" t="str">
        <f>IF(D38="A",5,IF(D38="B",4,IF(D38="C",3,IF(D38="D",2,IF(D38="E",1,"")))))</f>
        <v/>
      </c>
    </row>
    <row r="40" spans="2:4" ht="13.5" thickBot="1" x14ac:dyDescent="0.25"/>
    <row r="41" spans="2:4" ht="25.5" x14ac:dyDescent="0.2">
      <c r="B41" s="418" t="s">
        <v>139</v>
      </c>
      <c r="C41" s="156" t="s">
        <v>140</v>
      </c>
      <c r="D41" s="129"/>
    </row>
    <row r="42" spans="2:4" ht="13.5" thickBot="1" x14ac:dyDescent="0.25">
      <c r="B42" s="419"/>
      <c r="C42" s="78" t="s">
        <v>196</v>
      </c>
      <c r="D42" s="131"/>
    </row>
    <row r="43" spans="2:4" x14ac:dyDescent="0.2">
      <c r="B43" s="419"/>
      <c r="C43" s="422" t="s">
        <v>141</v>
      </c>
      <c r="D43" s="80" t="str">
        <f>IF(D41=0,"",IF(D41&lt;2,"C",IF(D41&gt;=3,"A","B")))</f>
        <v/>
      </c>
    </row>
    <row r="44" spans="2:4" ht="13.5" thickBot="1" x14ac:dyDescent="0.25">
      <c r="B44" s="420"/>
      <c r="C44" s="423"/>
      <c r="D44" s="78" t="str">
        <f>IF(D43="A",5,IF(D43="B",4,IF(D43="C",3,IF(D43="D",2,IF(D43="E",1,"")))))</f>
        <v/>
      </c>
    </row>
    <row r="45" spans="2:4" ht="13.5" thickBot="1" x14ac:dyDescent="0.25"/>
    <row r="46" spans="2:4" ht="26.25" thickBot="1" x14ac:dyDescent="0.25">
      <c r="B46" s="157" t="s">
        <v>142</v>
      </c>
    </row>
    <row r="47" spans="2:4" ht="25.5" x14ac:dyDescent="0.2">
      <c r="B47" s="418" t="s">
        <v>208</v>
      </c>
      <c r="C47" s="156" t="s">
        <v>143</v>
      </c>
      <c r="D47" s="129"/>
    </row>
    <row r="48" spans="2:4" x14ac:dyDescent="0.2">
      <c r="B48" s="419"/>
      <c r="C48" s="158" t="s">
        <v>196</v>
      </c>
      <c r="D48" s="131"/>
    </row>
    <row r="49" spans="2:4" x14ac:dyDescent="0.2">
      <c r="B49" s="419"/>
      <c r="C49" s="422" t="s">
        <v>141</v>
      </c>
      <c r="D49" s="80" t="str">
        <f>IF(D47=0,"",IF(D47&lt;=4600,"D","E"))</f>
        <v/>
      </c>
    </row>
    <row r="50" spans="2:4" ht="13.5" thickBot="1" x14ac:dyDescent="0.25">
      <c r="B50" s="420"/>
      <c r="C50" s="423"/>
      <c r="D50" s="78" t="str">
        <f>IF(D49="A",5,IF(D49="B",4,IF(D49="C",3,IF(D49="D",2,IF(D49="E",1,"")))))</f>
        <v/>
      </c>
    </row>
    <row r="51" spans="2:4" ht="25.5" x14ac:dyDescent="0.2">
      <c r="B51" s="418" t="s">
        <v>144</v>
      </c>
      <c r="C51" s="156" t="s">
        <v>143</v>
      </c>
      <c r="D51" s="129"/>
    </row>
    <row r="52" spans="2:4" x14ac:dyDescent="0.2">
      <c r="B52" s="419"/>
      <c r="C52" s="158" t="s">
        <v>196</v>
      </c>
      <c r="D52" s="131"/>
    </row>
    <row r="53" spans="2:4" x14ac:dyDescent="0.2">
      <c r="B53" s="419"/>
      <c r="C53" s="422" t="s">
        <v>141</v>
      </c>
      <c r="D53" s="80" t="str">
        <f>IF(D51=0,"",IF(D51&lt;=5000,"D","E"))</f>
        <v/>
      </c>
    </row>
    <row r="54" spans="2:4" ht="13.5" thickBot="1" x14ac:dyDescent="0.25">
      <c r="B54" s="420"/>
      <c r="C54" s="423"/>
      <c r="D54" s="78" t="str">
        <f>IF(D53="A",5,IF(D53="B",4,IF(D53="C",3,IF(D53="D",2,IF(D53="E",1,"")))))</f>
        <v/>
      </c>
    </row>
    <row r="55" spans="2:4" x14ac:dyDescent="0.2">
      <c r="B55" s="418" t="s">
        <v>209</v>
      </c>
      <c r="C55" s="156" t="s">
        <v>145</v>
      </c>
      <c r="D55" s="129"/>
    </row>
    <row r="56" spans="2:4" x14ac:dyDescent="0.2">
      <c r="B56" s="419"/>
      <c r="C56" s="158" t="s">
        <v>196</v>
      </c>
      <c r="D56" s="131"/>
    </row>
    <row r="57" spans="2:4" x14ac:dyDescent="0.2">
      <c r="B57" s="419"/>
      <c r="C57" s="422" t="s">
        <v>141</v>
      </c>
      <c r="D57" s="80" t="str">
        <f>IF(D55=0,"",IF(D55="Boiler A ou B segundo o PBE","D","E"))</f>
        <v/>
      </c>
    </row>
    <row r="58" spans="2:4" ht="13.5" thickBot="1" x14ac:dyDescent="0.25">
      <c r="B58" s="420"/>
      <c r="C58" s="415"/>
      <c r="D58" s="78" t="str">
        <f>IF(D57="A",5,IF(D57="B",4,IF(D57="C",3,IF(D57="D",2,IF(D57="E",1,"")))))</f>
        <v/>
      </c>
    </row>
    <row r="59" spans="2:4" ht="13.5" thickBot="1" x14ac:dyDescent="0.25"/>
    <row r="60" spans="2:4" x14ac:dyDescent="0.2">
      <c r="B60" s="333" t="s">
        <v>197</v>
      </c>
      <c r="C60" s="77" t="s">
        <v>198</v>
      </c>
      <c r="D60" s="129"/>
    </row>
    <row r="61" spans="2:4" x14ac:dyDescent="0.2">
      <c r="B61" s="421"/>
      <c r="C61" s="117" t="s">
        <v>196</v>
      </c>
      <c r="D61" s="131"/>
    </row>
    <row r="62" spans="2:4" ht="12.75" customHeight="1" x14ac:dyDescent="0.2">
      <c r="B62" s="421"/>
      <c r="C62" s="424" t="s">
        <v>141</v>
      </c>
      <c r="D62" s="80" t="str">
        <f>IF(D60="Sim","E","")</f>
        <v/>
      </c>
    </row>
    <row r="63" spans="2:4" ht="12.75" customHeight="1" thickBot="1" x14ac:dyDescent="0.25">
      <c r="B63" s="415"/>
      <c r="C63" s="415"/>
      <c r="D63" s="78" t="str">
        <f>IF(D62="A",5,IF(D62="B",4,IF(D62="C",3,IF(D62="D",2,IF(D62="E",1,"")))))</f>
        <v/>
      </c>
    </row>
    <row r="64" spans="2:4" ht="12.75" customHeight="1" thickBot="1" x14ac:dyDescent="0.25"/>
    <row r="65" spans="1:6" ht="13.5" customHeight="1" x14ac:dyDescent="0.2">
      <c r="C65" s="333" t="s">
        <v>160</v>
      </c>
      <c r="D65" s="77" t="str">
        <f>IF(D66&gt;=4.5,"A",IF((D66&lt;4.5)*(D66&gt;=3.5),"B",IF((D66&lt;3.5)*(D66&gt;=2.5),"C",IF((D66&lt;2.5)*(D66&gt;=1.5),"D",IF((D66&lt;1.5)*(D66&gt;0),"E","")))))</f>
        <v/>
      </c>
    </row>
    <row r="66" spans="1:6" ht="12.75" customHeight="1" thickBot="1" x14ac:dyDescent="0.25">
      <c r="C66" s="415"/>
      <c r="D66" s="184"/>
    </row>
    <row r="70" spans="1:6" ht="38.25" hidden="1" x14ac:dyDescent="0.2">
      <c r="A70" s="159" t="s">
        <v>169</v>
      </c>
      <c r="B70" s="159" t="s">
        <v>170</v>
      </c>
      <c r="C70" s="67" t="s">
        <v>202</v>
      </c>
      <c r="D70" s="67" t="s">
        <v>203</v>
      </c>
      <c r="E70" s="67" t="s">
        <v>204</v>
      </c>
      <c r="F70" s="67" t="s">
        <v>205</v>
      </c>
    </row>
  </sheetData>
  <sheetProtection algorithmName="SHA-512" hashValue="pIIOQwle1abtmLy+onf4duv5fFvyywuCqJAgafQf7p3RxSNIPsBpPdLgirIceL3kTpHY1IWKzoOU9LRNDVuOaA==" saltValue="d4dT3Vwjo2Ao5pwbE0TOpw==" spinCount="100000" sheet="1" objects="1" scenarios="1"/>
  <mergeCells count="18">
    <mergeCell ref="C57:C58"/>
    <mergeCell ref="C62:C63"/>
    <mergeCell ref="B7:D7"/>
    <mergeCell ref="B6:D6"/>
    <mergeCell ref="C65:C66"/>
    <mergeCell ref="C32:C33"/>
    <mergeCell ref="C38:C39"/>
    <mergeCell ref="B10:B22"/>
    <mergeCell ref="B24:B33"/>
    <mergeCell ref="B47:B50"/>
    <mergeCell ref="B55:B58"/>
    <mergeCell ref="B41:B44"/>
    <mergeCell ref="B51:B54"/>
    <mergeCell ref="B60:B63"/>
    <mergeCell ref="C43:C44"/>
    <mergeCell ref="C49:C50"/>
    <mergeCell ref="C53:C54"/>
    <mergeCell ref="B35:B39"/>
  </mergeCells>
  <conditionalFormatting sqref="D57 D53 D49 D43">
    <cfRule type="containsText" dxfId="17" priority="40" operator="containsText" text="D">
      <formula>NOT(ISERROR(SEARCH("D",D43)))</formula>
    </cfRule>
    <cfRule type="containsText" dxfId="16" priority="41" operator="containsText" text="C">
      <formula>NOT(ISERROR(SEARCH("C",D43)))</formula>
    </cfRule>
    <cfRule type="containsText" dxfId="15" priority="42" operator="containsText" text="B">
      <formula>NOT(ISERROR(SEARCH("B",D43)))</formula>
    </cfRule>
    <cfRule type="containsText" dxfId="14" priority="43" operator="containsText" text="A">
      <formula>NOT(ISERROR(SEARCH("A",D43)))</formula>
    </cfRule>
    <cfRule type="containsText" dxfId="13" priority="44" operator="containsText" text="E">
      <formula>NOT(ISERROR(SEARCH("E",D43)))</formula>
    </cfRule>
  </conditionalFormatting>
  <conditionalFormatting sqref="D65 D62 D32 D38 D22">
    <cfRule type="containsText" dxfId="12" priority="29" operator="containsText" text="E">
      <formula>NOT(ISERROR(SEARCH("E",D22)))</formula>
    </cfRule>
    <cfRule type="containsText" dxfId="11" priority="30" operator="containsText" text="D">
      <formula>NOT(ISERROR(SEARCH("D",D22)))</formula>
    </cfRule>
    <cfRule type="containsText" dxfId="10" priority="31" operator="containsText" text="C">
      <formula>NOT(ISERROR(SEARCH("C",D22)))</formula>
    </cfRule>
    <cfRule type="containsText" dxfId="9" priority="32" operator="containsText" text="B">
      <formula>NOT(ISERROR(SEARCH("B",D22)))</formula>
    </cfRule>
    <cfRule type="containsText" dxfId="8" priority="33" operator="containsText" text="A">
      <formula>NOT(ISERROR(SEARCH("A",D22)))</formula>
    </cfRule>
  </conditionalFormatting>
  <conditionalFormatting sqref="D21:D22 D27 D32:D33">
    <cfRule type="containsErrors" dxfId="7" priority="1">
      <formula>ISERROR(D21)</formula>
    </cfRule>
  </conditionalFormatting>
  <dataValidations count="4">
    <dataValidation type="list" allowBlank="1" showInputMessage="1" showErrorMessage="1" sqref="D60 D16:D17 D24 D10:D14 D35:D36">
      <formula1>"Sim,Não"</formula1>
    </dataValidation>
    <dataValidation allowBlank="1" showInputMessage="1" showErrorMessage="1" errorTitle="ERRO!" error="Você não pode escolher essa opção." sqref="D56"/>
    <dataValidation type="list" allowBlank="1" showInputMessage="1" showErrorMessage="1" errorTitle="ERRO!" error="Você não pode escolher essa opção." sqref="D55">
      <formula1>$A$70:$B$70</formula1>
    </dataValidation>
    <dataValidation type="list" allowBlank="1" showInputMessage="1" showErrorMessage="1" sqref="D28">
      <formula1>$C$70:$F$70</formula1>
    </dataValidation>
  </dataValidations>
  <pageMargins left="0.511811024" right="0.511811024" top="0.78740157499999996" bottom="0.78740157499999996" header="0.31496062000000002" footer="0.31496062000000002"/>
  <pageSetup paperSize="9" orientation="portrait" horizontalDpi="300" verticalDpi="30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dimension ref="B1:F31"/>
  <sheetViews>
    <sheetView showGridLines="0" zoomScale="85" zoomScaleNormal="85" workbookViewId="0">
      <selection activeCell="D21" sqref="D21"/>
    </sheetView>
  </sheetViews>
  <sheetFormatPr defaultColWidth="15.7109375" defaultRowHeight="12.75" x14ac:dyDescent="0.2"/>
  <cols>
    <col min="1" max="1" width="10.7109375" style="99" customWidth="1"/>
    <col min="2" max="6" width="25.7109375" style="99" customWidth="1"/>
    <col min="7" max="16384" width="15.7109375" style="99"/>
  </cols>
  <sheetData>
    <row r="1" spans="2:5" ht="20.100000000000001" customHeight="1" x14ac:dyDescent="0.2">
      <c r="B1" s="52"/>
      <c r="C1" s="52"/>
      <c r="D1" s="53"/>
      <c r="E1" s="53"/>
    </row>
    <row r="2" spans="2:5" ht="20.100000000000001" customHeight="1" x14ac:dyDescent="0.2">
      <c r="B2" s="55"/>
      <c r="C2" s="55"/>
      <c r="D2" s="67"/>
      <c r="E2" s="67"/>
    </row>
    <row r="3" spans="2:5" ht="20.100000000000001" customHeight="1" x14ac:dyDescent="0.2">
      <c r="B3" s="55"/>
      <c r="C3" s="55"/>
      <c r="D3" s="67"/>
      <c r="E3" s="67"/>
    </row>
    <row r="4" spans="2:5" ht="20.100000000000001" customHeight="1" x14ac:dyDescent="0.2">
      <c r="B4" s="55"/>
      <c r="C4" s="55"/>
      <c r="D4" s="67"/>
      <c r="E4" s="67"/>
    </row>
    <row r="5" spans="2:5" ht="20.100000000000001" customHeight="1" x14ac:dyDescent="0.2">
      <c r="B5" s="55"/>
      <c r="C5" s="105"/>
      <c r="D5" s="105"/>
      <c r="E5" s="105"/>
    </row>
    <row r="6" spans="2:5" ht="20.100000000000001" customHeight="1" x14ac:dyDescent="0.2">
      <c r="B6" s="408" t="s">
        <v>176</v>
      </c>
      <c r="C6" s="408"/>
      <c r="D6" s="408"/>
      <c r="E6" s="106"/>
    </row>
    <row r="7" spans="2:5" ht="20.100000000000001" customHeight="1" x14ac:dyDescent="0.2">
      <c r="B7" s="408" t="s">
        <v>172</v>
      </c>
      <c r="C7" s="408"/>
      <c r="D7" s="408"/>
      <c r="E7" s="105"/>
    </row>
    <row r="8" spans="2:5" ht="20.100000000000001" customHeight="1" x14ac:dyDescent="0.2">
      <c r="B8" s="55"/>
      <c r="C8" s="55"/>
      <c r="D8" s="67"/>
      <c r="E8" s="67"/>
    </row>
    <row r="9" spans="2:5" ht="20.100000000000001" customHeight="1" thickBot="1" x14ac:dyDescent="0.25">
      <c r="B9" s="55"/>
      <c r="C9" s="55"/>
      <c r="D9" s="67"/>
      <c r="E9" s="67"/>
    </row>
    <row r="10" spans="2:5" ht="20.100000000000001" customHeight="1" thickBot="1" x14ac:dyDescent="0.25">
      <c r="B10" s="412" t="s">
        <v>128</v>
      </c>
      <c r="C10" s="96" t="s">
        <v>60</v>
      </c>
      <c r="D10" s="164"/>
    </row>
    <row r="11" spans="2:5" ht="20.100000000000001" customHeight="1" x14ac:dyDescent="0.2">
      <c r="B11" s="413"/>
      <c r="C11" s="429" t="s">
        <v>122</v>
      </c>
      <c r="D11" s="93" t="e">
        <f>IF(D12&gt;=4.5,"A",IF((D12&lt;4.5)*(D12&gt;=3.5),"B",IF((D12&lt;3.5)*(D12&gt;=2.5),"C",IF((D12&lt;2.5)*(D12&gt;=1.5),"D","E"))))</f>
        <v>#DIV/0!</v>
      </c>
    </row>
    <row r="12" spans="2:5" ht="20.100000000000001" customHeight="1" thickBot="1" x14ac:dyDescent="0.25">
      <c r="B12" s="413"/>
      <c r="C12" s="430"/>
      <c r="D12" s="185" t="e">
        <f>'Pré-requisitos da UH'!E28</f>
        <v>#DIV/0!</v>
      </c>
    </row>
    <row r="13" spans="2:5" ht="20.100000000000001" customHeight="1" x14ac:dyDescent="0.2">
      <c r="B13" s="413"/>
      <c r="C13" s="429" t="s">
        <v>123</v>
      </c>
      <c r="D13" s="93" t="e">
        <f>'Pré-requisitos da UH'!E29</f>
        <v>#DIV/0!</v>
      </c>
    </row>
    <row r="14" spans="2:5" ht="20.100000000000001" customHeight="1" thickBot="1" x14ac:dyDescent="0.25">
      <c r="B14" s="413"/>
      <c r="C14" s="430"/>
      <c r="D14" s="185" t="e">
        <f>'Pré-requisitos da UH'!E30</f>
        <v>#DIV/0!</v>
      </c>
    </row>
    <row r="15" spans="2:5" ht="20.100000000000001" customHeight="1" x14ac:dyDescent="0.2">
      <c r="B15" s="413"/>
      <c r="C15" s="429" t="s">
        <v>124</v>
      </c>
      <c r="D15" s="93" t="str">
        <f>IF(D16&gt;=4.5,"A",IF((D16&lt;4.5)*(D16&gt;=3.5),"B",IF((D16&lt;3.5)*(D16&gt;=2.5),"C",IF((D16&lt;2.5)*(D16&gt;=1.5),"D","E"))))</f>
        <v>E</v>
      </c>
    </row>
    <row r="16" spans="2:5" ht="20.100000000000001" customHeight="1" thickBot="1" x14ac:dyDescent="0.25">
      <c r="B16" s="413"/>
      <c r="C16" s="430"/>
      <c r="D16" s="185">
        <f>'Aquecimento de Água'!D66</f>
        <v>0</v>
      </c>
    </row>
    <row r="17" spans="2:6" ht="20.100000000000001" customHeight="1" x14ac:dyDescent="0.2">
      <c r="B17" s="413"/>
      <c r="C17" s="431" t="s">
        <v>125</v>
      </c>
      <c r="D17" s="93" t="e">
        <f>IF(D18&gt;=4.5,"A",IF((D18&lt;4.5)*(D18&gt;=3.5),"B",IF((D18&lt;3.5)*(D18&gt;=2.5),"C",IF((D18&lt;2.5)*(D18&gt;=1.5),"D","E"))))</f>
        <v>#DIV/0!</v>
      </c>
    </row>
    <row r="18" spans="2:6" ht="20.100000000000001" customHeight="1" thickBot="1" x14ac:dyDescent="0.25">
      <c r="B18" s="413"/>
      <c r="C18" s="432"/>
      <c r="D18" s="185" t="e">
        <f>'Pré-requisitos da UH'!E36</f>
        <v>#DIV/0!</v>
      </c>
    </row>
    <row r="19" spans="2:6" ht="20.100000000000001" customHeight="1" x14ac:dyDescent="0.2">
      <c r="B19" s="413"/>
      <c r="C19" s="431" t="s">
        <v>126</v>
      </c>
      <c r="D19" s="93" t="e">
        <f>IF(D20&gt;=4.5,"A",IF((D20&lt;4.5)*(D20&gt;=3.5),"B",IF((D20&lt;3.5)*(D20&gt;=2.5),"C",IF((D20&lt;2.5)*(D20&gt;=1.5),"D","E"))))</f>
        <v>#DIV/0!</v>
      </c>
    </row>
    <row r="20" spans="2:6" ht="20.100000000000001" customHeight="1" thickBot="1" x14ac:dyDescent="0.25">
      <c r="B20" s="413"/>
      <c r="C20" s="432"/>
      <c r="D20" s="185" t="e">
        <f>'Pré-requisitos da UH'!E32</f>
        <v>#DIV/0!</v>
      </c>
    </row>
    <row r="21" spans="2:6" ht="20.100000000000001" customHeight="1" thickBot="1" x14ac:dyDescent="0.25">
      <c r="B21" s="413"/>
      <c r="C21" s="96" t="s">
        <v>127</v>
      </c>
      <c r="D21" s="186">
        <f>IF(Bonificações!E51&gt;1,"1",Bonificações!E51)</f>
        <v>0</v>
      </c>
    </row>
    <row r="22" spans="2:6" ht="20.100000000000001" customHeight="1" x14ac:dyDescent="0.2">
      <c r="B22" s="413"/>
      <c r="C22" s="138" t="s">
        <v>162</v>
      </c>
      <c r="D22" s="154" t="s">
        <v>278</v>
      </c>
    </row>
    <row r="23" spans="2:6" ht="20.100000000000001" customHeight="1" thickBot="1" x14ac:dyDescent="0.25">
      <c r="B23" s="414"/>
      <c r="C23" s="139" t="s">
        <v>163</v>
      </c>
      <c r="D23" s="185">
        <f>IF(D22="Norte",0.95,IF(D22="Nordeste",0.9,0.65))</f>
        <v>0.65</v>
      </c>
    </row>
    <row r="24" spans="2:6" x14ac:dyDescent="0.2">
      <c r="B24" s="118"/>
    </row>
    <row r="25" spans="2:6" x14ac:dyDescent="0.2">
      <c r="B25" s="119"/>
    </row>
    <row r="28" spans="2:6" ht="13.5" thickBot="1" x14ac:dyDescent="0.25"/>
    <row r="29" spans="2:6" ht="36" thickTop="1" thickBot="1" x14ac:dyDescent="0.5">
      <c r="B29" s="425" t="s">
        <v>129</v>
      </c>
      <c r="C29" s="426"/>
      <c r="D29" s="426"/>
      <c r="E29" s="427" t="e">
        <f>IF(E30&gt;=4.495,"A",IF(AND(E30&lt;4.495,E30&gt;=3.495),"B",IF(AND(E30&lt;3.495,E30&gt;=2.495),"C",IF(AND(E30&lt;2.495,E30&gt;=1.495),"D","E"))))</f>
        <v>#DIV/0!</v>
      </c>
      <c r="F29" s="427"/>
    </row>
    <row r="30" spans="2:6" ht="36" thickTop="1" thickBot="1" x14ac:dyDescent="0.5">
      <c r="B30" s="425" t="s">
        <v>128</v>
      </c>
      <c r="C30" s="426"/>
      <c r="D30" s="426"/>
      <c r="E30" s="428" t="e">
        <f>D23*D18+(1-D23)*D16+D21</f>
        <v>#DIV/0!</v>
      </c>
      <c r="F30" s="428"/>
    </row>
    <row r="31" spans="2:6" ht="13.5" thickTop="1" x14ac:dyDescent="0.2"/>
  </sheetData>
  <sheetProtection password="DCFB" sheet="1" objects="1" scenarios="1"/>
  <mergeCells count="12">
    <mergeCell ref="B6:D6"/>
    <mergeCell ref="B7:D7"/>
    <mergeCell ref="B30:D30"/>
    <mergeCell ref="B29:D29"/>
    <mergeCell ref="E29:F29"/>
    <mergeCell ref="E30:F30"/>
    <mergeCell ref="B10:B23"/>
    <mergeCell ref="C11:C12"/>
    <mergeCell ref="C13:C14"/>
    <mergeCell ref="C15:C16"/>
    <mergeCell ref="C17:C18"/>
    <mergeCell ref="C19:C20"/>
  </mergeCells>
  <conditionalFormatting sqref="E29 D19 D17 D13 D11 D15">
    <cfRule type="containsText" dxfId="6" priority="28" operator="containsText" text="E">
      <formula>NOT(ISERROR(SEARCH("E",D11)))</formula>
    </cfRule>
    <cfRule type="containsText" dxfId="5" priority="29" operator="containsText" text="D">
      <formula>NOT(ISERROR(SEARCH("D",D11)))</formula>
    </cfRule>
    <cfRule type="containsText" dxfId="4" priority="30" operator="containsText" text="C">
      <formula>NOT(ISERROR(SEARCH("C",D11)))</formula>
    </cfRule>
    <cfRule type="containsText" dxfId="3" priority="31" operator="containsText" text="B">
      <formula>NOT(ISERROR(SEARCH("B",D11)))</formula>
    </cfRule>
    <cfRule type="containsText" dxfId="2" priority="32" operator="containsText" text="A">
      <formula>NOT(ISERROR(SEARCH("A",D11)))</formula>
    </cfRule>
  </conditionalFormatting>
  <conditionalFormatting sqref="B10:F30">
    <cfRule type="containsErrors" dxfId="1" priority="1">
      <formula>ISERROR(B10)</formula>
    </cfRule>
    <cfRule type="cellIs" dxfId="0" priority="2" operator="equal">
      <formula>"Não se aplica"</formula>
    </cfRule>
  </conditionalFormatting>
  <dataValidations count="2">
    <dataValidation type="list" allowBlank="1" showInputMessage="1" showErrorMessage="1" sqref="D22">
      <formula1>"Norte,Nordeste,Centro-Oeste,Sudeste,Sul"</formula1>
    </dataValidation>
    <dataValidation allowBlank="1" showInputMessage="1" showErrorMessage="1" promptTitle="UH" prompt="Identifique a Unidade de Habitação Autônoma (UH) que foi analisada." sqref="D10"/>
  </dataValidation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Envoltória e Pré-req dos Amb</vt:lpstr>
      <vt:lpstr>Peso das Variáveis</vt:lpstr>
      <vt:lpstr>ESCALAS</vt:lpstr>
      <vt:lpstr>Pré-requisitos da UH</vt:lpstr>
      <vt:lpstr>Bonificações</vt:lpstr>
      <vt:lpstr>Aquecimento de Água</vt:lpstr>
      <vt:lpstr>Pontuação 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VERSAGE;PERGHER</dc:creator>
  <cp:lastModifiedBy>Agatha Carvalho</cp:lastModifiedBy>
  <dcterms:created xsi:type="dcterms:W3CDTF">2010-02-26T13:38:03Z</dcterms:created>
  <dcterms:modified xsi:type="dcterms:W3CDTF">2018-02-08T19:20:17Z</dcterms:modified>
</cp:coreProperties>
</file>